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26 APRIL 2024\FISIK PEMELIHARAAN GSG\"/>
    </mc:Choice>
  </mc:AlternateContent>
  <xr:revisionPtr revIDLastSave="0" documentId="8_{D74BF083-7F9D-4B97-BCE0-7D422AABA592}" xr6:coauthVersionLast="47" xr6:coauthVersionMax="47" xr10:uidLastSave="{00000000-0000-0000-0000-000000000000}"/>
  <bookViews>
    <workbookView xWindow="-108" yWindow="-108" windowWidth="23256" windowHeight="12456" tabRatio="851" firstSheet="16" activeTab="16" xr2:uid="{00000000-000D-0000-FFFF-FFFF00000000}"/>
  </bookViews>
  <sheets>
    <sheet name="K3 (2)" sheetId="111" state="hidden" r:id="rId1"/>
    <sheet name="COVER " sheetId="104" state="hidden" r:id="rId2"/>
    <sheet name="REKAP" sheetId="5" state="hidden" r:id="rId3"/>
    <sheet name="RAB" sheetId="48" state="hidden" r:id="rId4"/>
    <sheet name="B" sheetId="109" state="hidden" r:id="rId5"/>
    <sheet name="C" sheetId="114" state="hidden" r:id="rId6"/>
    <sheet name="D" sheetId="82" state="hidden" r:id="rId7"/>
    <sheet name="E" sheetId="105" state="hidden" r:id="rId8"/>
    <sheet name="F" sheetId="106" state="hidden" r:id="rId9"/>
    <sheet name="M" sheetId="107" state="hidden" r:id="rId10"/>
    <sheet name="N" sheetId="116" state="hidden" r:id="rId11"/>
    <sheet name="RKPANL" sheetId="86" state="hidden" r:id="rId12"/>
    <sheet name="ANALISA UTAMA" sheetId="102" state="hidden" r:id="rId13"/>
    <sheet name="UPAH-BAHAN" sheetId="103" state="hidden" r:id="rId14"/>
    <sheet name="ANL HITUNG" sheetId="112" state="hidden" r:id="rId15"/>
    <sheet name="Sheet1" sheetId="113" state="hidden" r:id="rId16"/>
    <sheet name="HPS - TKDN" sheetId="11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\0" localSheetId="1">#REF!</definedName>
    <definedName name="\0" localSheetId="7">#REF!</definedName>
    <definedName name="\0" localSheetId="8">#REF!</definedName>
    <definedName name="\0" localSheetId="16">#REF!</definedName>
    <definedName name="\0" localSheetId="9">#REF!</definedName>
    <definedName name="\0">#REF!</definedName>
    <definedName name="\h" localSheetId="1">'[1]Upah&amp;Bahan'!#REF!</definedName>
    <definedName name="\h" localSheetId="7">'[1]Upah&amp;Bahan'!#REF!</definedName>
    <definedName name="\h" localSheetId="8">'[1]Upah&amp;Bahan'!#REF!</definedName>
    <definedName name="\h" localSheetId="16">'[1]Upah&amp;Bahan'!#REF!</definedName>
    <definedName name="\h" localSheetId="9">'[1]Upah&amp;Bahan'!#REF!</definedName>
    <definedName name="\h">'[1]Upah&amp;Bahan'!#REF!</definedName>
    <definedName name="\H1" localSheetId="1">#REF!</definedName>
    <definedName name="\H1" localSheetId="7">#REF!</definedName>
    <definedName name="\H1" localSheetId="8">#REF!</definedName>
    <definedName name="\H1" localSheetId="16">#REF!</definedName>
    <definedName name="\H1" localSheetId="9">#REF!</definedName>
    <definedName name="\H1">#REF!</definedName>
    <definedName name="\H4">'[2]Daf Harga'!$A$4:$N$106</definedName>
    <definedName name="\H6" localSheetId="1">#REF!</definedName>
    <definedName name="\H6" localSheetId="7">#REF!</definedName>
    <definedName name="\H6" localSheetId="8">#REF!</definedName>
    <definedName name="\H6" localSheetId="16">#REF!</definedName>
    <definedName name="\H6" localSheetId="9">#REF!</definedName>
    <definedName name="\H6">#REF!</definedName>
    <definedName name="\H7">'[2]Rekap Bill'!$A$1:$L$57</definedName>
    <definedName name="\j" localSheetId="4">'[1]Upah&amp;Bahan'!#REF!</definedName>
    <definedName name="\j" localSheetId="1">'[1]Upah&amp;Bahan'!#REF!</definedName>
    <definedName name="\j" localSheetId="7">'[1]Upah&amp;Bahan'!#REF!</definedName>
    <definedName name="\j" localSheetId="8">'[1]Upah&amp;Bahan'!#REF!</definedName>
    <definedName name="\j" localSheetId="16">'[1]Upah&amp;Bahan'!#REF!</definedName>
    <definedName name="\j" localSheetId="9">'[1]Upah&amp;Bahan'!#REF!</definedName>
    <definedName name="\j">'[1]Upah&amp;Bahan'!#REF!</definedName>
    <definedName name="\m" localSheetId="1">'[3]Upah&amp;Bahan'!#REF!</definedName>
    <definedName name="\m" localSheetId="7">'[3]Upah&amp;Bahan'!#REF!</definedName>
    <definedName name="\m" localSheetId="8">'[3]Upah&amp;Bahan'!#REF!</definedName>
    <definedName name="\m" localSheetId="16">'[3]Upah&amp;Bahan'!#REF!</definedName>
    <definedName name="\m" localSheetId="9">'[3]Upah&amp;Bahan'!#REF!</definedName>
    <definedName name="\m">'[3]Upah&amp;Bahan'!#REF!</definedName>
    <definedName name="\n" localSheetId="7">'[3]Upah&amp;Bahan'!#REF!</definedName>
    <definedName name="\n" localSheetId="8">'[3]Upah&amp;Bahan'!#REF!</definedName>
    <definedName name="\n" localSheetId="16">'[3]Upah&amp;Bahan'!#REF!</definedName>
    <definedName name="\n" localSheetId="9">'[3]Upah&amp;Bahan'!#REF!</definedName>
    <definedName name="\n">'[3]Upah&amp;Bahan'!#REF!</definedName>
    <definedName name="\p" localSheetId="1">#REF!</definedName>
    <definedName name="\p" localSheetId="7">#REF!</definedName>
    <definedName name="\p" localSheetId="8">#REF!</definedName>
    <definedName name="\p" localSheetId="16">#REF!</definedName>
    <definedName name="\p" localSheetId="9">#REF!</definedName>
    <definedName name="\p">#REF!</definedName>
    <definedName name="\Q" localSheetId="7">#REF!</definedName>
    <definedName name="\Q" localSheetId="8">#REF!</definedName>
    <definedName name="\Q" localSheetId="16">#REF!</definedName>
    <definedName name="\Q" localSheetId="9">#REF!</definedName>
    <definedName name="\Q">#REF!</definedName>
    <definedName name="\W" localSheetId="7">#REF!</definedName>
    <definedName name="\W" localSheetId="8">#REF!</definedName>
    <definedName name="\W" localSheetId="16">#REF!</definedName>
    <definedName name="\W" localSheetId="9">#REF!</definedName>
    <definedName name="\W">#REF!</definedName>
    <definedName name="\Z" localSheetId="7">#REF!</definedName>
    <definedName name="\Z" localSheetId="8">#REF!</definedName>
    <definedName name="\Z" localSheetId="16">#REF!</definedName>
    <definedName name="\Z" localSheetId="9">#REF!</definedName>
    <definedName name="\Z">#REF!</definedName>
    <definedName name="_______MDE01">[4]PERALATAN!$BO$27</definedName>
    <definedName name="_______MDE02">[4]PERALATAN!$BO$47</definedName>
    <definedName name="_______MDE03">[4]PERALATAN!$BO$67</definedName>
    <definedName name="_______MDE04">[4]PERALATAN!$BO$87</definedName>
    <definedName name="_______MDE05">[4]PERALATAN!$BO$107</definedName>
    <definedName name="_______MDE06">[4]PERALATAN!$BO$127</definedName>
    <definedName name="_______MDE07">[4]PERALATAN!$BO$147</definedName>
    <definedName name="_______MDE08">[4]PERALATAN!$BO$167</definedName>
    <definedName name="_______MDE09">[4]PERALATAN!$BO$187</definedName>
    <definedName name="_______MDE10">[4]PERALATAN!$BO$207</definedName>
    <definedName name="_______MDE11">[4]PERALATAN!$BO$227</definedName>
    <definedName name="_______MDE12">[4]PERALATAN!$BO$247</definedName>
    <definedName name="_______MDE13">[4]PERALATAN!$BO$267</definedName>
    <definedName name="_______MDE14">[4]PERALATAN!$BO$287</definedName>
    <definedName name="_______MDE15">[4]PERALATAN!$BO$307</definedName>
    <definedName name="_______MDE16">[4]PERALATAN!$BO$327</definedName>
    <definedName name="_______MDE17">[4]PERALATAN!$BO$347</definedName>
    <definedName name="_______MDE18">[4]PERALATAN!$BO$367</definedName>
    <definedName name="_______MDE19">[4]PERALATAN!$BO$387</definedName>
    <definedName name="_______MDE20">[4]PERALATAN!$BO$407</definedName>
    <definedName name="_______MDE21">[4]PERALATAN!$BO$427</definedName>
    <definedName name="_______MDE23">[4]PERALATAN!$BO$467</definedName>
    <definedName name="_______MDE24">[4]PERALATAN!$BO$487</definedName>
    <definedName name="_______MDE25">[4]PERALATAN!$BO$507</definedName>
    <definedName name="_______MDE26">[4]PERALATAN!$BO$527</definedName>
    <definedName name="_______MDE27">[4]PERALATAN!$BO$547</definedName>
    <definedName name="_______MDE28">[4]PERALATAN!$BO$567</definedName>
    <definedName name="_______MDE29">[4]PERALATAN!$BO$587</definedName>
    <definedName name="_______MDE30">[4]PERALATAN!$BO$607</definedName>
    <definedName name="_______MDE31">[4]PERALATAN!$BO$627</definedName>
    <definedName name="_______MDE32">[4]PERALATAN!$BO$647</definedName>
    <definedName name="_______MDE33">[4]PERALATAN!$BO$667</definedName>
    <definedName name="_______MDE34">[4]PERALATAN!$BO$698</definedName>
    <definedName name="_______ME01">[4]PERALATAN!$BO$26</definedName>
    <definedName name="_______ME02">[4]PERALATAN!$BO$46</definedName>
    <definedName name="_______ME03">[4]PERALATAN!$BO$66</definedName>
    <definedName name="_______ME04">[4]PERALATAN!$BO$86</definedName>
    <definedName name="_______ME05">[4]PERALATAN!$BO$106</definedName>
    <definedName name="_______ME06">[4]PERALATAN!$BO$126</definedName>
    <definedName name="_______ME07">[4]PERALATAN!$BO$146</definedName>
    <definedName name="_______ME08">[4]PERALATAN!$BO$166</definedName>
    <definedName name="_______ME09">[4]PERALATAN!$BO$186</definedName>
    <definedName name="_______ME10">[4]PERALATAN!$BO$206</definedName>
    <definedName name="_______ME11">[4]PERALATAN!$BO$226</definedName>
    <definedName name="_______ME12">[4]PERALATAN!$BO$246</definedName>
    <definedName name="_______ME13">[4]PERALATAN!$BO$266</definedName>
    <definedName name="_______ME14">[4]PERALATAN!$BO$286</definedName>
    <definedName name="_______ME15">[4]PERALATAN!$BO$306</definedName>
    <definedName name="_______ME16">[4]PERALATAN!$BO$326</definedName>
    <definedName name="_______ME17">[4]PERALATAN!$BO$346</definedName>
    <definedName name="_______ME18">[4]PERALATAN!$BO$366</definedName>
    <definedName name="_______ME19">[4]PERALATAN!$BO$386</definedName>
    <definedName name="_______ME20">[4]PERALATAN!$BO$406</definedName>
    <definedName name="_______ME21">[4]PERALATAN!$BO$426</definedName>
    <definedName name="_______ME22">[4]PERALATAN!$BO$446</definedName>
    <definedName name="_______ME23">[4]PERALATAN!$BO$466</definedName>
    <definedName name="_______ME24">[4]PERALATAN!$BO$486</definedName>
    <definedName name="_______ME25">[4]PERALATAN!$BO$506</definedName>
    <definedName name="_______ME26">[4]PERALATAN!$BO$526</definedName>
    <definedName name="_______ME27">[4]PERALATAN!$BO$546</definedName>
    <definedName name="_______ME28">[4]PERALATAN!$BO$566</definedName>
    <definedName name="_______ME29">[4]PERALATAN!$BO$586</definedName>
    <definedName name="_______ME30">[4]PERALATAN!$BO$606</definedName>
    <definedName name="_______ME31">[4]PERALATAN!$BO$626</definedName>
    <definedName name="_______ME32">[4]PERALATAN!$BO$646</definedName>
    <definedName name="_______ME33">[4]PERALATAN!$BO$666</definedName>
    <definedName name="_______ME34">[4]PERALATAN!$BO$697</definedName>
    <definedName name="______DIV1">'[5]Kuantitas &amp; Harga'!$G$26</definedName>
    <definedName name="______DIV10">'[5]Kuantitas &amp; Harga'!$G$418</definedName>
    <definedName name="______DIV2">'[5]Kuantitas &amp; Harga'!$G$50</definedName>
    <definedName name="______DIV3">'[5]Kuantitas &amp; Harga'!$G$84</definedName>
    <definedName name="______DIV4">'[5]Kuantitas &amp; Harga'!$G$99</definedName>
    <definedName name="______DIV5">'[5]Kuantitas &amp; Harga'!$G$119</definedName>
    <definedName name="______DIV6">'[5]Kuantitas &amp; Harga'!$G$155</definedName>
    <definedName name="______DIV7">'[5]Kuantitas &amp; Harga'!$G$319</definedName>
    <definedName name="______DIV8">'[5]Kuantitas &amp; Harga'!$G$377</definedName>
    <definedName name="______DIV9">'[5]Kuantitas &amp; Harga'!$G$405</definedName>
    <definedName name="______MDE01">[4]PERALATAN!$BO$27</definedName>
    <definedName name="______MDE02">[4]PERALATAN!$BO$47</definedName>
    <definedName name="______MDE03">[4]PERALATAN!$BO$67</definedName>
    <definedName name="______MDE04">[4]PERALATAN!$BO$87</definedName>
    <definedName name="______MDE05">[4]PERALATAN!$BO$107</definedName>
    <definedName name="______MDE06">[4]PERALATAN!$BO$127</definedName>
    <definedName name="______MDE07">[4]PERALATAN!$BO$147</definedName>
    <definedName name="______MDE08">[4]PERALATAN!$BO$167</definedName>
    <definedName name="______MDE09">[4]PERALATAN!$BO$187</definedName>
    <definedName name="______MDE10">[4]PERALATAN!$BO$207</definedName>
    <definedName name="______MDE11">[4]PERALATAN!$BO$227</definedName>
    <definedName name="______MDE12">[4]PERALATAN!$BO$247</definedName>
    <definedName name="______MDE13">[4]PERALATAN!$BO$267</definedName>
    <definedName name="______MDE14">[4]PERALATAN!$BO$287</definedName>
    <definedName name="______MDE15">[4]PERALATAN!$BO$307</definedName>
    <definedName name="______MDE16">[4]PERALATAN!$BO$327</definedName>
    <definedName name="______MDE17">[4]PERALATAN!$BO$347</definedName>
    <definedName name="______MDE18">[4]PERALATAN!$BO$367</definedName>
    <definedName name="______MDE19">[4]PERALATAN!$BO$387</definedName>
    <definedName name="______MDE20">[4]PERALATAN!$BO$407</definedName>
    <definedName name="______MDE21">[4]PERALATAN!$BO$427</definedName>
    <definedName name="______MDE23">[4]PERALATAN!$BO$467</definedName>
    <definedName name="______MDE24">[4]PERALATAN!$BO$487</definedName>
    <definedName name="______MDE25">[4]PERALATAN!$BO$507</definedName>
    <definedName name="______MDE26">[4]PERALATAN!$BO$527</definedName>
    <definedName name="______MDE27">[4]PERALATAN!$BO$547</definedName>
    <definedName name="______MDE28">[4]PERALATAN!$BO$567</definedName>
    <definedName name="______MDE29">[4]PERALATAN!$BO$587</definedName>
    <definedName name="______MDE30">[4]PERALATAN!$BO$607</definedName>
    <definedName name="______MDE31">[4]PERALATAN!$BO$627</definedName>
    <definedName name="______MDE32">[4]PERALATAN!$BO$647</definedName>
    <definedName name="______MDE33">[4]PERALATAN!$BO$667</definedName>
    <definedName name="______MDE34">[4]PERALATAN!$BO$698</definedName>
    <definedName name="______ME01">[4]PERALATAN!$BO$26</definedName>
    <definedName name="______ME02">[4]PERALATAN!$BO$46</definedName>
    <definedName name="______ME03">[4]PERALATAN!$BO$66</definedName>
    <definedName name="______ME04">[4]PERALATAN!$BO$86</definedName>
    <definedName name="______ME05">[4]PERALATAN!$BO$106</definedName>
    <definedName name="______ME06">[4]PERALATAN!$BO$126</definedName>
    <definedName name="______ME07">[4]PERALATAN!$BO$146</definedName>
    <definedName name="______ME08">[4]PERALATAN!$BO$166</definedName>
    <definedName name="______ME09">[4]PERALATAN!$BO$186</definedName>
    <definedName name="______ME10">[4]PERALATAN!$BO$206</definedName>
    <definedName name="______ME11">[4]PERALATAN!$BO$226</definedName>
    <definedName name="______ME12">[4]PERALATAN!$BO$246</definedName>
    <definedName name="______ME13">[4]PERALATAN!$BO$266</definedName>
    <definedName name="______ME14">[4]PERALATAN!$BO$286</definedName>
    <definedName name="______ME15">[4]PERALATAN!$BO$306</definedName>
    <definedName name="______ME16">[4]PERALATAN!$BO$326</definedName>
    <definedName name="______ME17">[4]PERALATAN!$BO$346</definedName>
    <definedName name="______ME18">[4]PERALATAN!$BO$366</definedName>
    <definedName name="______ME19">[4]PERALATAN!$BO$386</definedName>
    <definedName name="______ME20">[4]PERALATAN!$BO$406</definedName>
    <definedName name="______ME21">[4]PERALATAN!$BO$426</definedName>
    <definedName name="______ME22">[4]PERALATAN!$BO$446</definedName>
    <definedName name="______ME23">[4]PERALATAN!$BO$466</definedName>
    <definedName name="______ME24">[4]PERALATAN!$BO$486</definedName>
    <definedName name="______ME25">[4]PERALATAN!$BO$506</definedName>
    <definedName name="______ME26">[4]PERALATAN!$BO$526</definedName>
    <definedName name="______ME27">[4]PERALATAN!$BO$546</definedName>
    <definedName name="______ME28">[4]PERALATAN!$BO$566</definedName>
    <definedName name="______ME29">[4]PERALATAN!$BO$586</definedName>
    <definedName name="______ME30">[4]PERALATAN!$BO$606</definedName>
    <definedName name="______ME31">[4]PERALATAN!$BO$626</definedName>
    <definedName name="______ME32">[4]PERALATAN!$BO$646</definedName>
    <definedName name="______ME33">[4]PERALATAN!$BO$666</definedName>
    <definedName name="______ME34">[4]PERALATAN!$BO$697</definedName>
    <definedName name="______mg3" localSheetId="1" hidden="1">#REF!</definedName>
    <definedName name="______mg3" localSheetId="7" hidden="1">#REF!</definedName>
    <definedName name="______mg3" localSheetId="8" hidden="1">#REF!</definedName>
    <definedName name="______mg3" localSheetId="16" hidden="1">#REF!</definedName>
    <definedName name="______mg3" localSheetId="9" hidden="1">#REF!</definedName>
    <definedName name="______mg3" hidden="1">#REF!</definedName>
    <definedName name="______Pvc3" localSheetId="1">[6]UPAH!#REF!</definedName>
    <definedName name="______Pvc3" localSheetId="7">[6]UPAH!#REF!</definedName>
    <definedName name="______Pvc3" localSheetId="8">[6]UPAH!#REF!</definedName>
    <definedName name="______Pvc3" localSheetId="16">[6]UPAH!#REF!</definedName>
    <definedName name="______Pvc3" localSheetId="9">[6]UPAH!#REF!</definedName>
    <definedName name="______Pvc3">[6]UPAH!#REF!</definedName>
    <definedName name="______Pvc4" localSheetId="1">[6]UPAH!#REF!</definedName>
    <definedName name="______Pvc4" localSheetId="7">[6]UPAH!#REF!</definedName>
    <definedName name="______Pvc4" localSheetId="8">[6]UPAH!#REF!</definedName>
    <definedName name="______Pvc4" localSheetId="16">[6]UPAH!#REF!</definedName>
    <definedName name="______Pvc4" localSheetId="9">[6]UPAH!#REF!</definedName>
    <definedName name="______Pvc4">[6]UPAH!#REF!</definedName>
    <definedName name="_____DIV1">'[5]Kuantitas &amp; Harga'!$G$26</definedName>
    <definedName name="_____DIV10">'[5]Kuantitas &amp; Harga'!$G$418</definedName>
    <definedName name="_____DIV2">'[5]Kuantitas &amp; Harga'!$G$50</definedName>
    <definedName name="_____DIV3">'[5]Kuantitas &amp; Harga'!$G$84</definedName>
    <definedName name="_____DIV4">'[5]Kuantitas &amp; Harga'!$G$99</definedName>
    <definedName name="_____DIV5">'[5]Kuantitas &amp; Harga'!$G$119</definedName>
    <definedName name="_____DIV6">'[5]Kuantitas &amp; Harga'!$G$155</definedName>
    <definedName name="_____DIV7">'[5]Kuantitas &amp; Harga'!$G$319</definedName>
    <definedName name="_____DIV8">'[5]Kuantitas &amp; Harga'!$G$377</definedName>
    <definedName name="_____DIV9">'[5]Kuantitas &amp; Harga'!$G$405</definedName>
    <definedName name="_____MDE01">[4]PERALATAN!$BO$27</definedName>
    <definedName name="_____MDE02">[4]PERALATAN!$BO$47</definedName>
    <definedName name="_____MDE03">[4]PERALATAN!$BO$67</definedName>
    <definedName name="_____MDE04">[4]PERALATAN!$BO$87</definedName>
    <definedName name="_____MDE05">[4]PERALATAN!$BO$107</definedName>
    <definedName name="_____MDE06">[4]PERALATAN!$BO$127</definedName>
    <definedName name="_____MDE07">[4]PERALATAN!$BO$147</definedName>
    <definedName name="_____MDE08">[4]PERALATAN!$BO$167</definedName>
    <definedName name="_____MDE09">[4]PERALATAN!$BO$187</definedName>
    <definedName name="_____MDE10">[4]PERALATAN!$BO$207</definedName>
    <definedName name="_____MDE11">[4]PERALATAN!$BO$227</definedName>
    <definedName name="_____MDE12">[4]PERALATAN!$BO$247</definedName>
    <definedName name="_____MDE13">[4]PERALATAN!$BO$267</definedName>
    <definedName name="_____MDE14">[4]PERALATAN!$BO$287</definedName>
    <definedName name="_____MDE15">[4]PERALATAN!$BO$307</definedName>
    <definedName name="_____MDE16">[4]PERALATAN!$BO$327</definedName>
    <definedName name="_____MDE17">[4]PERALATAN!$BO$347</definedName>
    <definedName name="_____MDE18">[4]PERALATAN!$BO$367</definedName>
    <definedName name="_____MDE19">[4]PERALATAN!$BO$387</definedName>
    <definedName name="_____MDE20">[4]PERALATAN!$BO$407</definedName>
    <definedName name="_____MDE21">[4]PERALATAN!$BO$427</definedName>
    <definedName name="_____MDE23">[4]PERALATAN!$BO$467</definedName>
    <definedName name="_____MDE24">[4]PERALATAN!$BO$487</definedName>
    <definedName name="_____MDE25">[4]PERALATAN!$BO$507</definedName>
    <definedName name="_____MDE26">[4]PERALATAN!$BO$527</definedName>
    <definedName name="_____MDE27">[4]PERALATAN!$BO$547</definedName>
    <definedName name="_____MDE28">[4]PERALATAN!$BO$567</definedName>
    <definedName name="_____MDE29">[4]PERALATAN!$BO$587</definedName>
    <definedName name="_____MDE30">[4]PERALATAN!$BO$607</definedName>
    <definedName name="_____MDE31">[4]PERALATAN!$BO$627</definedName>
    <definedName name="_____MDE32">[4]PERALATAN!$BO$647</definedName>
    <definedName name="_____MDE33">[4]PERALATAN!$BO$667</definedName>
    <definedName name="_____MDE34">[4]PERALATAN!$BO$698</definedName>
    <definedName name="_____ME01">[4]PERALATAN!$BO$26</definedName>
    <definedName name="_____ME02">[4]PERALATAN!$BO$46</definedName>
    <definedName name="_____ME03">[4]PERALATAN!$BO$66</definedName>
    <definedName name="_____ME04">[4]PERALATAN!$BO$86</definedName>
    <definedName name="_____ME05">[4]PERALATAN!$BO$106</definedName>
    <definedName name="_____ME06">[4]PERALATAN!$BO$126</definedName>
    <definedName name="_____ME07">[4]PERALATAN!$BO$146</definedName>
    <definedName name="_____ME08">[4]PERALATAN!$BO$166</definedName>
    <definedName name="_____ME09">[4]PERALATAN!$BO$186</definedName>
    <definedName name="_____ME10">[4]PERALATAN!$BO$206</definedName>
    <definedName name="_____ME11">[4]PERALATAN!$BO$226</definedName>
    <definedName name="_____ME12">[4]PERALATAN!$BO$246</definedName>
    <definedName name="_____ME13">[4]PERALATAN!$BO$266</definedName>
    <definedName name="_____ME14">[4]PERALATAN!$BO$286</definedName>
    <definedName name="_____ME15">[4]PERALATAN!$BO$306</definedName>
    <definedName name="_____ME16">[4]PERALATAN!$BO$326</definedName>
    <definedName name="_____ME17">[4]PERALATAN!$BO$346</definedName>
    <definedName name="_____ME18">[4]PERALATAN!$BO$366</definedName>
    <definedName name="_____ME19">[4]PERALATAN!$BO$386</definedName>
    <definedName name="_____ME20">[4]PERALATAN!$BO$406</definedName>
    <definedName name="_____ME21">[4]PERALATAN!$BO$426</definedName>
    <definedName name="_____ME22">[4]PERALATAN!$BO$446</definedName>
    <definedName name="_____ME23">[4]PERALATAN!$BO$466</definedName>
    <definedName name="_____ME24">[4]PERALATAN!$BO$486</definedName>
    <definedName name="_____ME25">[4]PERALATAN!$BO$506</definedName>
    <definedName name="_____ME26">[4]PERALATAN!$BO$526</definedName>
    <definedName name="_____ME27">[4]PERALATAN!$BO$546</definedName>
    <definedName name="_____ME28">[4]PERALATAN!$BO$566</definedName>
    <definedName name="_____ME29">[4]PERALATAN!$BO$586</definedName>
    <definedName name="_____ME30">[4]PERALATAN!$BO$606</definedName>
    <definedName name="_____ME31">[4]PERALATAN!$BO$626</definedName>
    <definedName name="_____ME32">[4]PERALATAN!$BO$646</definedName>
    <definedName name="_____ME33">[4]PERALATAN!$BO$666</definedName>
    <definedName name="_____ME34">[4]PERALATAN!$BO$697</definedName>
    <definedName name="____DIV1">'[5]Kuantitas &amp; Harga'!$G$26</definedName>
    <definedName name="____DIV10">'[5]Kuantitas &amp; Harga'!$G$418</definedName>
    <definedName name="____DIV2">'[5]Kuantitas &amp; Harga'!$G$50</definedName>
    <definedName name="____DIV3">'[5]Kuantitas &amp; Harga'!$G$84</definedName>
    <definedName name="____DIV4">'[5]Kuantitas &amp; Harga'!$G$99</definedName>
    <definedName name="____DIV5">'[5]Kuantitas &amp; Harga'!$G$119</definedName>
    <definedName name="____DIV6">'[5]Kuantitas &amp; Harga'!$G$155</definedName>
    <definedName name="____DIV7">'[5]Kuantitas &amp; Harga'!$G$319</definedName>
    <definedName name="____DIV8">'[5]Kuantitas &amp; Harga'!$G$377</definedName>
    <definedName name="____DIV9">'[5]Kuantitas &amp; Harga'!$G$405</definedName>
    <definedName name="____MDE01">[4]PERALATAN!$BO$27</definedName>
    <definedName name="____MDE02">[4]PERALATAN!$BO$47</definedName>
    <definedName name="____MDE03">[4]PERALATAN!$BO$67</definedName>
    <definedName name="____MDE04">[4]PERALATAN!$BO$87</definedName>
    <definedName name="____MDE05">[4]PERALATAN!$BO$107</definedName>
    <definedName name="____MDE06">[4]PERALATAN!$BO$127</definedName>
    <definedName name="____MDE07">[4]PERALATAN!$BO$147</definedName>
    <definedName name="____MDE08">[4]PERALATAN!$BO$167</definedName>
    <definedName name="____MDE09">[4]PERALATAN!$BO$187</definedName>
    <definedName name="____MDE10">[4]PERALATAN!$BO$207</definedName>
    <definedName name="____MDE11">[4]PERALATAN!$BO$227</definedName>
    <definedName name="____MDE12">[4]PERALATAN!$BO$247</definedName>
    <definedName name="____MDE13">[4]PERALATAN!$BO$267</definedName>
    <definedName name="____MDE14">[4]PERALATAN!$BO$287</definedName>
    <definedName name="____MDE15">[4]PERALATAN!$BO$307</definedName>
    <definedName name="____MDE16">[4]PERALATAN!$BO$327</definedName>
    <definedName name="____MDE17">[4]PERALATAN!$BO$347</definedName>
    <definedName name="____MDE18">[4]PERALATAN!$BO$367</definedName>
    <definedName name="____MDE19">[4]PERALATAN!$BO$387</definedName>
    <definedName name="____MDE20">[4]PERALATAN!$BO$407</definedName>
    <definedName name="____MDE21">[4]PERALATAN!$BO$427</definedName>
    <definedName name="____MDE23">[4]PERALATAN!$BO$467</definedName>
    <definedName name="____MDE24">[4]PERALATAN!$BO$487</definedName>
    <definedName name="____MDE25">[4]PERALATAN!$BO$507</definedName>
    <definedName name="____MDE26">[4]PERALATAN!$BO$527</definedName>
    <definedName name="____MDE27">[4]PERALATAN!$BO$547</definedName>
    <definedName name="____MDE28">[4]PERALATAN!$BO$567</definedName>
    <definedName name="____MDE29">[4]PERALATAN!$BO$587</definedName>
    <definedName name="____MDE30">[4]PERALATAN!$BO$607</definedName>
    <definedName name="____MDE31">[4]PERALATAN!$BO$627</definedName>
    <definedName name="____MDE32">[4]PERALATAN!$BO$647</definedName>
    <definedName name="____MDE33">[4]PERALATAN!$BO$667</definedName>
    <definedName name="____MDE34">[4]PERALATAN!$BO$698</definedName>
    <definedName name="____ME01">[4]PERALATAN!$BO$26</definedName>
    <definedName name="____ME02">[4]PERALATAN!$BO$46</definedName>
    <definedName name="____ME03">[4]PERALATAN!$BO$66</definedName>
    <definedName name="____ME04">[4]PERALATAN!$BO$86</definedName>
    <definedName name="____ME05">[4]PERALATAN!$BO$106</definedName>
    <definedName name="____ME06">[4]PERALATAN!$BO$126</definedName>
    <definedName name="____ME07">[4]PERALATAN!$BO$146</definedName>
    <definedName name="____ME08">[4]PERALATAN!$BO$166</definedName>
    <definedName name="____ME09">[4]PERALATAN!$BO$186</definedName>
    <definedName name="____ME10">[4]PERALATAN!$BO$206</definedName>
    <definedName name="____ME11">[4]PERALATAN!$BO$226</definedName>
    <definedName name="____ME12">[4]PERALATAN!$BO$246</definedName>
    <definedName name="____ME13">[4]PERALATAN!$BO$266</definedName>
    <definedName name="____ME14">[4]PERALATAN!$BO$286</definedName>
    <definedName name="____ME15">[4]PERALATAN!$BO$306</definedName>
    <definedName name="____ME16">[4]PERALATAN!$BO$326</definedName>
    <definedName name="____ME17">[4]PERALATAN!$BO$346</definedName>
    <definedName name="____ME18">[4]PERALATAN!$BO$366</definedName>
    <definedName name="____ME19">[4]PERALATAN!$BO$386</definedName>
    <definedName name="____ME20">[4]PERALATAN!$BO$406</definedName>
    <definedName name="____ME21">[4]PERALATAN!$BO$426</definedName>
    <definedName name="____ME22">[4]PERALATAN!$BO$446</definedName>
    <definedName name="____ME23">[4]PERALATAN!$BO$466</definedName>
    <definedName name="____ME24">[4]PERALATAN!$BO$486</definedName>
    <definedName name="____ME25">[4]PERALATAN!$BO$506</definedName>
    <definedName name="____ME26">[4]PERALATAN!$BO$526</definedName>
    <definedName name="____ME27">[4]PERALATAN!$BO$546</definedName>
    <definedName name="____ME28">[4]PERALATAN!$BO$566</definedName>
    <definedName name="____ME29">[4]PERALATAN!$BO$586</definedName>
    <definedName name="____ME30">[4]PERALATAN!$BO$606</definedName>
    <definedName name="____ME31">[4]PERALATAN!$BO$626</definedName>
    <definedName name="____ME32">[4]PERALATAN!$BO$646</definedName>
    <definedName name="____ME33">[4]PERALATAN!$BO$666</definedName>
    <definedName name="____ME34">[4]PERALATAN!$BO$697</definedName>
    <definedName name="____mg3" localSheetId="1" hidden="1">#REF!</definedName>
    <definedName name="____mg3" localSheetId="7" hidden="1">#REF!</definedName>
    <definedName name="____mg3" localSheetId="8" hidden="1">#REF!</definedName>
    <definedName name="____mg3" localSheetId="16" hidden="1">#REF!</definedName>
    <definedName name="____mg3" localSheetId="9" hidden="1">#REF!</definedName>
    <definedName name="____mg3" hidden="1">#REF!</definedName>
    <definedName name="____Pvc3" localSheetId="1">[6]UPAH!#REF!</definedName>
    <definedName name="____Pvc3" localSheetId="7">[6]UPAH!#REF!</definedName>
    <definedName name="____Pvc3" localSheetId="8">[6]UPAH!#REF!</definedName>
    <definedName name="____Pvc3" localSheetId="16">[6]UPAH!#REF!</definedName>
    <definedName name="____Pvc3" localSheetId="9">[6]UPAH!#REF!</definedName>
    <definedName name="____Pvc3">[6]UPAH!#REF!</definedName>
    <definedName name="____Pvc4" localSheetId="1">[6]UPAH!#REF!</definedName>
    <definedName name="____Pvc4" localSheetId="7">[6]UPAH!#REF!</definedName>
    <definedName name="____Pvc4" localSheetId="8">[6]UPAH!#REF!</definedName>
    <definedName name="____Pvc4" localSheetId="16">[6]UPAH!#REF!</definedName>
    <definedName name="____Pvc4" localSheetId="9">[6]UPAH!#REF!</definedName>
    <definedName name="____Pvc4">[6]UPAH!#REF!</definedName>
    <definedName name="___DIV1">'[5]Kuantitas &amp; Harga'!$G$26</definedName>
    <definedName name="___DIV10">'[5]Kuantitas &amp; Harga'!$G$418</definedName>
    <definedName name="___DIV2">'[5]Kuantitas &amp; Harga'!$G$50</definedName>
    <definedName name="___DIV3">'[5]Kuantitas &amp; Harga'!$G$84</definedName>
    <definedName name="___DIV4">'[5]Kuantitas &amp; Harga'!$G$99</definedName>
    <definedName name="___DIV5">'[5]Kuantitas &amp; Harga'!$G$119</definedName>
    <definedName name="___DIV6">'[5]Kuantitas &amp; Harga'!$G$155</definedName>
    <definedName name="___DIV7">'[5]Kuantitas &amp; Harga'!$G$319</definedName>
    <definedName name="___DIV8">'[5]Kuantitas &amp; Harga'!$G$377</definedName>
    <definedName name="___DIV9">'[5]Kuantitas &amp; Harga'!$G$405</definedName>
    <definedName name="___EEE07" localSheetId="1">#REF!</definedName>
    <definedName name="___EEE07" localSheetId="7">#REF!</definedName>
    <definedName name="___EEE07" localSheetId="8">#REF!</definedName>
    <definedName name="___EEE07" localSheetId="16">#REF!</definedName>
    <definedName name="___EEE07" localSheetId="9">#REF!</definedName>
    <definedName name="___EEE07">#REF!</definedName>
    <definedName name="___MDE01">[4]PERALATAN!$BO$27</definedName>
    <definedName name="___MDE02">[4]PERALATAN!$BO$47</definedName>
    <definedName name="___MDE03">[4]PERALATAN!$BO$67</definedName>
    <definedName name="___MDE04">[4]PERALATAN!$BO$87</definedName>
    <definedName name="___MDE05">[4]PERALATAN!$BO$107</definedName>
    <definedName name="___MDE06">[4]PERALATAN!$BO$127</definedName>
    <definedName name="___MDE07">[4]PERALATAN!$BO$147</definedName>
    <definedName name="___MDE08">[4]PERALATAN!$BO$167</definedName>
    <definedName name="___MDE09">[4]PERALATAN!$BO$187</definedName>
    <definedName name="___MDE10">[4]PERALATAN!$BO$207</definedName>
    <definedName name="___MDE11">[4]PERALATAN!$BO$227</definedName>
    <definedName name="___MDE12">[4]PERALATAN!$BO$247</definedName>
    <definedName name="___MDE13">[4]PERALATAN!$BO$267</definedName>
    <definedName name="___MDE14">[4]PERALATAN!$BO$287</definedName>
    <definedName name="___MDE15">[4]PERALATAN!$BO$307</definedName>
    <definedName name="___MDE16">[4]PERALATAN!$BO$327</definedName>
    <definedName name="___MDE17">[4]PERALATAN!$BO$347</definedName>
    <definedName name="___MDE18">[4]PERALATAN!$BO$367</definedName>
    <definedName name="___MDE19">[4]PERALATAN!$BO$387</definedName>
    <definedName name="___MDE20">[4]PERALATAN!$BO$407</definedName>
    <definedName name="___MDE21">[4]PERALATAN!$BO$427</definedName>
    <definedName name="___MDE23">[4]PERALATAN!$BO$467</definedName>
    <definedName name="___MDE24">[4]PERALATAN!$BO$487</definedName>
    <definedName name="___MDE25">[4]PERALATAN!$BO$507</definedName>
    <definedName name="___MDE26">[4]PERALATAN!$BO$527</definedName>
    <definedName name="___MDE27">[4]PERALATAN!$BO$547</definedName>
    <definedName name="___MDE28">[4]PERALATAN!$BO$567</definedName>
    <definedName name="___MDE29">[4]PERALATAN!$BO$587</definedName>
    <definedName name="___MDE30">[4]PERALATAN!$BO$607</definedName>
    <definedName name="___MDE31">[4]PERALATAN!$BO$627</definedName>
    <definedName name="___MDE32">[4]PERALATAN!$BO$647</definedName>
    <definedName name="___MDE33">[4]PERALATAN!$BO$667</definedName>
    <definedName name="___MDE34">[4]PERALATAN!$BO$698</definedName>
    <definedName name="___ME01">[4]PERALATAN!$BO$26</definedName>
    <definedName name="___ME02">[4]PERALATAN!$BO$46</definedName>
    <definedName name="___ME03">[4]PERALATAN!$BO$66</definedName>
    <definedName name="___ME04">[4]PERALATAN!$BO$86</definedName>
    <definedName name="___ME05">[4]PERALATAN!$BO$106</definedName>
    <definedName name="___ME06">[4]PERALATAN!$BO$126</definedName>
    <definedName name="___ME07">[4]PERALATAN!$BO$146</definedName>
    <definedName name="___ME08">[4]PERALATAN!$BO$166</definedName>
    <definedName name="___ME09">[4]PERALATAN!$BO$186</definedName>
    <definedName name="___ME10">[4]PERALATAN!$BO$206</definedName>
    <definedName name="___ME11">[4]PERALATAN!$BO$226</definedName>
    <definedName name="___ME12">[4]PERALATAN!$BO$246</definedName>
    <definedName name="___ME13">[4]PERALATAN!$BO$266</definedName>
    <definedName name="___ME14">[4]PERALATAN!$BO$286</definedName>
    <definedName name="___ME15">[4]PERALATAN!$BO$306</definedName>
    <definedName name="___ME16">[4]PERALATAN!$BO$326</definedName>
    <definedName name="___ME17">[4]PERALATAN!$BO$346</definedName>
    <definedName name="___ME18">[4]PERALATAN!$BO$366</definedName>
    <definedName name="___ME19">[4]PERALATAN!$BO$386</definedName>
    <definedName name="___ME20">[4]PERALATAN!$BO$406</definedName>
    <definedName name="___ME21">[4]PERALATAN!$BO$426</definedName>
    <definedName name="___ME22">[4]PERALATAN!$BO$446</definedName>
    <definedName name="___ME23">[4]PERALATAN!$BO$466</definedName>
    <definedName name="___ME24">[4]PERALATAN!$BO$486</definedName>
    <definedName name="___ME25">[4]PERALATAN!$BO$506</definedName>
    <definedName name="___ME26">[4]PERALATAN!$BO$526</definedName>
    <definedName name="___ME27">[4]PERALATAN!$BO$546</definedName>
    <definedName name="___ME28">[4]PERALATAN!$BO$566</definedName>
    <definedName name="___ME29">[4]PERALATAN!$BO$586</definedName>
    <definedName name="___ME30">[4]PERALATAN!$BO$606</definedName>
    <definedName name="___ME31">[4]PERALATAN!$BO$626</definedName>
    <definedName name="___ME32">[4]PERALATAN!$BO$646</definedName>
    <definedName name="___ME33">[4]PERALATAN!$BO$666</definedName>
    <definedName name="___ME34">[4]PERALATAN!$BO$697</definedName>
    <definedName name="___mg3" localSheetId="1" hidden="1">#REF!</definedName>
    <definedName name="___mg3" localSheetId="7" hidden="1">#REF!</definedName>
    <definedName name="___mg3" localSheetId="8" hidden="1">#REF!</definedName>
    <definedName name="___mg3" localSheetId="16" hidden="1">#REF!</definedName>
    <definedName name="___mg3" localSheetId="9" hidden="1">#REF!</definedName>
    <definedName name="___mg3" hidden="1">#REF!</definedName>
    <definedName name="___Pvc3" localSheetId="1">[6]UPAH!#REF!</definedName>
    <definedName name="___Pvc3" localSheetId="7">[6]UPAH!#REF!</definedName>
    <definedName name="___Pvc3" localSheetId="8">[6]UPAH!#REF!</definedName>
    <definedName name="___Pvc3" localSheetId="16">[6]UPAH!#REF!</definedName>
    <definedName name="___Pvc3" localSheetId="9">[6]UPAH!#REF!</definedName>
    <definedName name="___Pvc3">[6]UPAH!#REF!</definedName>
    <definedName name="___Pvc4" localSheetId="1">[6]UPAH!#REF!</definedName>
    <definedName name="___Pvc4" localSheetId="7">[6]UPAH!#REF!</definedName>
    <definedName name="___Pvc4" localSheetId="8">[6]UPAH!#REF!</definedName>
    <definedName name="___Pvc4" localSheetId="16">[6]UPAH!#REF!</definedName>
    <definedName name="___Pvc4" localSheetId="9">[6]UPAH!#REF!</definedName>
    <definedName name="___Pvc4">[6]UPAH!#REF!</definedName>
    <definedName name="__123Graph_A" hidden="1">'[7]DIV.1 Mobilisasi'!$G$30:$G$36</definedName>
    <definedName name="__123Graph_B" hidden="1">'[7]DIV.1 Mobilisasi'!$H$30:$H$36</definedName>
    <definedName name="__123Graph_X" hidden="1">'[7]DIV.1 Mobilisasi'!$F$30:$F$35</definedName>
    <definedName name="__DIV1">'[5]Kuantitas &amp; Harga'!$G$26</definedName>
    <definedName name="__DIV10">'[5]Kuantitas &amp; Harga'!$G$418</definedName>
    <definedName name="__DIV11" localSheetId="4">[2]Bill!#REF!</definedName>
    <definedName name="__DIV11" localSheetId="1">[2]Bill!#REF!</definedName>
    <definedName name="__DIV11" localSheetId="7">[2]Bill!#REF!</definedName>
    <definedName name="__DIV11" localSheetId="8">[2]Bill!#REF!</definedName>
    <definedName name="__DIV11" localSheetId="16">[2]Bill!#REF!</definedName>
    <definedName name="__DIV11" localSheetId="9">[2]Bill!#REF!</definedName>
    <definedName name="__DIV11">[2]Bill!#REF!</definedName>
    <definedName name="__DIV2">'[5]Kuantitas &amp; Harga'!$G$50</definedName>
    <definedName name="__DIV3">'[5]Kuantitas &amp; Harga'!$G$84</definedName>
    <definedName name="__DIV4">'[5]Kuantitas &amp; Harga'!$G$99</definedName>
    <definedName name="__DIV5">'[5]Kuantitas &amp; Harga'!$G$119</definedName>
    <definedName name="__DIV6">'[5]Kuantitas &amp; Harga'!$G$155</definedName>
    <definedName name="__DIV7">'[5]Kuantitas &amp; Harga'!$G$319</definedName>
    <definedName name="__DIV8">'[5]Kuantitas &amp; Harga'!$G$377</definedName>
    <definedName name="__DIV9">'[5]Kuantitas &amp; Harga'!$G$405</definedName>
    <definedName name="__EEE01" localSheetId="1">#REF!</definedName>
    <definedName name="__EEE01" localSheetId="7">#REF!</definedName>
    <definedName name="__EEE01" localSheetId="8">#REF!</definedName>
    <definedName name="__EEE01" localSheetId="16">#REF!</definedName>
    <definedName name="__EEE01" localSheetId="9">#REF!</definedName>
    <definedName name="__EEE01">#REF!</definedName>
    <definedName name="__EEE02" localSheetId="7">#REF!</definedName>
    <definedName name="__EEE02" localSheetId="8">#REF!</definedName>
    <definedName name="__EEE02" localSheetId="16">#REF!</definedName>
    <definedName name="__EEE02" localSheetId="9">#REF!</definedName>
    <definedName name="__EEE02">#REF!</definedName>
    <definedName name="__EEE03" localSheetId="7">#REF!</definedName>
    <definedName name="__EEE03" localSheetId="8">#REF!</definedName>
    <definedName name="__EEE03" localSheetId="16">#REF!</definedName>
    <definedName name="__EEE03" localSheetId="9">#REF!</definedName>
    <definedName name="__EEE03">#REF!</definedName>
    <definedName name="__EEE04" localSheetId="7">#REF!</definedName>
    <definedName name="__EEE04" localSheetId="8">#REF!</definedName>
    <definedName name="__EEE04" localSheetId="16">#REF!</definedName>
    <definedName name="__EEE04" localSheetId="9">#REF!</definedName>
    <definedName name="__EEE04">#REF!</definedName>
    <definedName name="__EEE05" localSheetId="7">#REF!</definedName>
    <definedName name="__EEE05" localSheetId="8">#REF!</definedName>
    <definedName name="__EEE05" localSheetId="16">#REF!</definedName>
    <definedName name="__EEE05" localSheetId="9">#REF!</definedName>
    <definedName name="__EEE05">#REF!</definedName>
    <definedName name="__EEE06" localSheetId="7">#REF!</definedName>
    <definedName name="__EEE06" localSheetId="8">#REF!</definedName>
    <definedName name="__EEE06" localSheetId="16">#REF!</definedName>
    <definedName name="__EEE06" localSheetId="9">#REF!</definedName>
    <definedName name="__EEE06">#REF!</definedName>
    <definedName name="__EEE07" localSheetId="7">#REF!</definedName>
    <definedName name="__EEE07" localSheetId="8">#REF!</definedName>
    <definedName name="__EEE07" localSheetId="16">#REF!</definedName>
    <definedName name="__EEE07" localSheetId="9">#REF!</definedName>
    <definedName name="__EEE07">#REF!</definedName>
    <definedName name="__EEE08" localSheetId="7">#REF!</definedName>
    <definedName name="__EEE08" localSheetId="8">#REF!</definedName>
    <definedName name="__EEE08" localSheetId="16">#REF!</definedName>
    <definedName name="__EEE08" localSheetId="9">#REF!</definedName>
    <definedName name="__EEE08">#REF!</definedName>
    <definedName name="__EEE09" localSheetId="7">#REF!</definedName>
    <definedName name="__EEE09" localSheetId="8">#REF!</definedName>
    <definedName name="__EEE09" localSheetId="16">#REF!</definedName>
    <definedName name="__EEE09" localSheetId="9">#REF!</definedName>
    <definedName name="__EEE09">#REF!</definedName>
    <definedName name="__EEE10" localSheetId="7">#REF!</definedName>
    <definedName name="__EEE10" localSheetId="8">#REF!</definedName>
    <definedName name="__EEE10" localSheetId="16">#REF!</definedName>
    <definedName name="__EEE10" localSheetId="9">#REF!</definedName>
    <definedName name="__EEE10">#REF!</definedName>
    <definedName name="__EEE11" localSheetId="7">#REF!</definedName>
    <definedName name="__EEE11" localSheetId="8">#REF!</definedName>
    <definedName name="__EEE11" localSheetId="16">#REF!</definedName>
    <definedName name="__EEE11" localSheetId="9">#REF!</definedName>
    <definedName name="__EEE11">#REF!</definedName>
    <definedName name="__EEE12" localSheetId="7">#REF!</definedName>
    <definedName name="__EEE12" localSheetId="8">#REF!</definedName>
    <definedName name="__EEE12" localSheetId="16">#REF!</definedName>
    <definedName name="__EEE12" localSheetId="9">#REF!</definedName>
    <definedName name="__EEE12">#REF!</definedName>
    <definedName name="__EEE13" localSheetId="7">#REF!</definedName>
    <definedName name="__EEE13" localSheetId="8">#REF!</definedName>
    <definedName name="__EEE13" localSheetId="16">#REF!</definedName>
    <definedName name="__EEE13" localSheetId="9">#REF!</definedName>
    <definedName name="__EEE13">#REF!</definedName>
    <definedName name="__EEE14" localSheetId="7">#REF!</definedName>
    <definedName name="__EEE14" localSheetId="8">#REF!</definedName>
    <definedName name="__EEE14" localSheetId="16">#REF!</definedName>
    <definedName name="__EEE14" localSheetId="9">#REF!</definedName>
    <definedName name="__EEE14">#REF!</definedName>
    <definedName name="__EEE15" localSheetId="7">#REF!</definedName>
    <definedName name="__EEE15" localSheetId="8">#REF!</definedName>
    <definedName name="__EEE15" localSheetId="16">#REF!</definedName>
    <definedName name="__EEE15" localSheetId="9">#REF!</definedName>
    <definedName name="__EEE15">#REF!</definedName>
    <definedName name="__EEE16" localSheetId="7">#REF!</definedName>
    <definedName name="__EEE16" localSheetId="8">#REF!</definedName>
    <definedName name="__EEE16" localSheetId="16">#REF!</definedName>
    <definedName name="__EEE16" localSheetId="9">#REF!</definedName>
    <definedName name="__EEE16">#REF!</definedName>
    <definedName name="__EEE17" localSheetId="7">#REF!</definedName>
    <definedName name="__EEE17" localSheetId="8">#REF!</definedName>
    <definedName name="__EEE17" localSheetId="16">#REF!</definedName>
    <definedName name="__EEE17" localSheetId="9">#REF!</definedName>
    <definedName name="__EEE17">#REF!</definedName>
    <definedName name="__EEE18" localSheetId="7">#REF!</definedName>
    <definedName name="__EEE18" localSheetId="8">#REF!</definedName>
    <definedName name="__EEE18" localSheetId="16">#REF!</definedName>
    <definedName name="__EEE18" localSheetId="9">#REF!</definedName>
    <definedName name="__EEE18">#REF!</definedName>
    <definedName name="__EEE19" localSheetId="7">#REF!</definedName>
    <definedName name="__EEE19" localSheetId="8">#REF!</definedName>
    <definedName name="__EEE19" localSheetId="16">#REF!</definedName>
    <definedName name="__EEE19" localSheetId="9">#REF!</definedName>
    <definedName name="__EEE19">#REF!</definedName>
    <definedName name="__EEE20" localSheetId="7">#REF!</definedName>
    <definedName name="__EEE20" localSheetId="8">#REF!</definedName>
    <definedName name="__EEE20" localSheetId="16">#REF!</definedName>
    <definedName name="__EEE20" localSheetId="9">#REF!</definedName>
    <definedName name="__EEE20">#REF!</definedName>
    <definedName name="__EEE21" localSheetId="7">#REF!</definedName>
    <definedName name="__EEE21" localSheetId="8">#REF!</definedName>
    <definedName name="__EEE21" localSheetId="16">#REF!</definedName>
    <definedName name="__EEE21" localSheetId="9">#REF!</definedName>
    <definedName name="__EEE21">#REF!</definedName>
    <definedName name="__EEE22" localSheetId="7">#REF!</definedName>
    <definedName name="__EEE22" localSheetId="8">#REF!</definedName>
    <definedName name="__EEE22" localSheetId="16">#REF!</definedName>
    <definedName name="__EEE22" localSheetId="9">#REF!</definedName>
    <definedName name="__EEE22">#REF!</definedName>
    <definedName name="__EEE23" localSheetId="7">#REF!</definedName>
    <definedName name="__EEE23" localSheetId="8">#REF!</definedName>
    <definedName name="__EEE23" localSheetId="16">#REF!</definedName>
    <definedName name="__EEE23" localSheetId="9">#REF!</definedName>
    <definedName name="__EEE23">#REF!</definedName>
    <definedName name="__EEE24" localSheetId="7">#REF!</definedName>
    <definedName name="__EEE24" localSheetId="8">#REF!</definedName>
    <definedName name="__EEE24" localSheetId="16">#REF!</definedName>
    <definedName name="__EEE24" localSheetId="9">#REF!</definedName>
    <definedName name="__EEE24">#REF!</definedName>
    <definedName name="__EEE25" localSheetId="7">#REF!</definedName>
    <definedName name="__EEE25" localSheetId="8">#REF!</definedName>
    <definedName name="__EEE25" localSheetId="16">#REF!</definedName>
    <definedName name="__EEE25" localSheetId="9">#REF!</definedName>
    <definedName name="__EEE25">#REF!</definedName>
    <definedName name="__EEE26" localSheetId="7">#REF!</definedName>
    <definedName name="__EEE26" localSheetId="8">#REF!</definedName>
    <definedName name="__EEE26" localSheetId="16">#REF!</definedName>
    <definedName name="__EEE26" localSheetId="9">#REF!</definedName>
    <definedName name="__EEE26">#REF!</definedName>
    <definedName name="__EEE27" localSheetId="7">#REF!</definedName>
    <definedName name="__EEE27" localSheetId="8">#REF!</definedName>
    <definedName name="__EEE27" localSheetId="16">#REF!</definedName>
    <definedName name="__EEE27" localSheetId="9">#REF!</definedName>
    <definedName name="__EEE27">#REF!</definedName>
    <definedName name="__EEE28" localSheetId="7">#REF!</definedName>
    <definedName name="__EEE28" localSheetId="8">#REF!</definedName>
    <definedName name="__EEE28" localSheetId="16">#REF!</definedName>
    <definedName name="__EEE28" localSheetId="9">#REF!</definedName>
    <definedName name="__EEE28">#REF!</definedName>
    <definedName name="__EEE29" localSheetId="7">#REF!</definedName>
    <definedName name="__EEE29" localSheetId="8">#REF!</definedName>
    <definedName name="__EEE29" localSheetId="16">#REF!</definedName>
    <definedName name="__EEE29" localSheetId="9">#REF!</definedName>
    <definedName name="__EEE29">#REF!</definedName>
    <definedName name="__EEE30" localSheetId="7">#REF!</definedName>
    <definedName name="__EEE30" localSheetId="8">#REF!</definedName>
    <definedName name="__EEE30" localSheetId="16">#REF!</definedName>
    <definedName name="__EEE30" localSheetId="9">#REF!</definedName>
    <definedName name="__EEE30">#REF!</definedName>
    <definedName name="__EEE31" localSheetId="7">#REF!</definedName>
    <definedName name="__EEE31" localSheetId="8">#REF!</definedName>
    <definedName name="__EEE31" localSheetId="16">#REF!</definedName>
    <definedName name="__EEE31" localSheetId="9">#REF!</definedName>
    <definedName name="__EEE31">#REF!</definedName>
    <definedName name="__EEE32" localSheetId="7">#REF!</definedName>
    <definedName name="__EEE32" localSheetId="8">#REF!</definedName>
    <definedName name="__EEE32" localSheetId="16">#REF!</definedName>
    <definedName name="__EEE32" localSheetId="9">#REF!</definedName>
    <definedName name="__EEE32">#REF!</definedName>
    <definedName name="__EEE33" localSheetId="7">#REF!</definedName>
    <definedName name="__EEE33" localSheetId="8">#REF!</definedName>
    <definedName name="__EEE33" localSheetId="16">#REF!</definedName>
    <definedName name="__EEE33" localSheetId="9">#REF!</definedName>
    <definedName name="__EEE33">#REF!</definedName>
    <definedName name="__HAL1">[2]Bill!$B$2:$K$89</definedName>
    <definedName name="__HAL2">[2]Bill!$B$91:$K$127</definedName>
    <definedName name="__HAL3">[2]Bill!$B$129:$K$177</definedName>
    <definedName name="__HAL4">[2]Bill!$B$179:$K$221</definedName>
    <definedName name="__HAL5">[2]Bill!$B$223:$K$269</definedName>
    <definedName name="__HAL6">[2]Bill!$B$270:$K$300</definedName>
    <definedName name="__HAL7">[2]Bill!$B$301:$K$348</definedName>
    <definedName name="__HAL8">[2]Bill!$B$349:$K$414</definedName>
    <definedName name="__MDE01" localSheetId="1">#REF!</definedName>
    <definedName name="__MDE01" localSheetId="7">#REF!</definedName>
    <definedName name="__MDE01" localSheetId="8">#REF!</definedName>
    <definedName name="__MDE01" localSheetId="16">#REF!</definedName>
    <definedName name="__MDE01" localSheetId="9">#REF!</definedName>
    <definedName name="__MDE01">#REF!</definedName>
    <definedName name="__MDE02" localSheetId="7">#REF!</definedName>
    <definedName name="__MDE02" localSheetId="8">#REF!</definedName>
    <definedName name="__MDE02" localSheetId="16">#REF!</definedName>
    <definedName name="__MDE02" localSheetId="9">#REF!</definedName>
    <definedName name="__MDE02">#REF!</definedName>
    <definedName name="__MDE03" localSheetId="7">#REF!</definedName>
    <definedName name="__MDE03" localSheetId="8">#REF!</definedName>
    <definedName name="__MDE03" localSheetId="16">#REF!</definedName>
    <definedName name="__MDE03" localSheetId="9">#REF!</definedName>
    <definedName name="__MDE03">#REF!</definedName>
    <definedName name="__MDE04" localSheetId="7">#REF!</definedName>
    <definedName name="__MDE04" localSheetId="8">#REF!</definedName>
    <definedName name="__MDE04" localSheetId="16">#REF!</definedName>
    <definedName name="__MDE04" localSheetId="9">#REF!</definedName>
    <definedName name="__MDE04">#REF!</definedName>
    <definedName name="__MDE05" localSheetId="7">#REF!</definedName>
    <definedName name="__MDE05" localSheetId="8">#REF!</definedName>
    <definedName name="__MDE05" localSheetId="16">#REF!</definedName>
    <definedName name="__MDE05" localSheetId="9">#REF!</definedName>
    <definedName name="__MDE05">#REF!</definedName>
    <definedName name="__MDE06" localSheetId="7">#REF!</definedName>
    <definedName name="__MDE06" localSheetId="8">#REF!</definedName>
    <definedName name="__MDE06" localSheetId="16">#REF!</definedName>
    <definedName name="__MDE06" localSheetId="9">#REF!</definedName>
    <definedName name="__MDE06">#REF!</definedName>
    <definedName name="__MDE07" localSheetId="7">#REF!</definedName>
    <definedName name="__MDE07" localSheetId="8">#REF!</definedName>
    <definedName name="__MDE07" localSheetId="16">#REF!</definedName>
    <definedName name="__MDE07" localSheetId="9">#REF!</definedName>
    <definedName name="__MDE07">#REF!</definedName>
    <definedName name="__MDE08" localSheetId="7">#REF!</definedName>
    <definedName name="__MDE08" localSheetId="8">#REF!</definedName>
    <definedName name="__MDE08" localSheetId="16">#REF!</definedName>
    <definedName name="__MDE08" localSheetId="9">#REF!</definedName>
    <definedName name="__MDE08">#REF!</definedName>
    <definedName name="__MDE09" localSheetId="7">#REF!</definedName>
    <definedName name="__MDE09" localSheetId="8">#REF!</definedName>
    <definedName name="__MDE09" localSheetId="16">#REF!</definedName>
    <definedName name="__MDE09" localSheetId="9">#REF!</definedName>
    <definedName name="__MDE09">#REF!</definedName>
    <definedName name="__MDE10" localSheetId="7">#REF!</definedName>
    <definedName name="__MDE10" localSheetId="8">#REF!</definedName>
    <definedName name="__MDE10" localSheetId="16">#REF!</definedName>
    <definedName name="__MDE10" localSheetId="9">#REF!</definedName>
    <definedName name="__MDE10">#REF!</definedName>
    <definedName name="__MDE11" localSheetId="7">#REF!</definedName>
    <definedName name="__MDE11" localSheetId="8">#REF!</definedName>
    <definedName name="__MDE11" localSheetId="16">#REF!</definedName>
    <definedName name="__MDE11" localSheetId="9">#REF!</definedName>
    <definedName name="__MDE11">#REF!</definedName>
    <definedName name="__MDE12" localSheetId="7">#REF!</definedName>
    <definedName name="__MDE12" localSheetId="8">#REF!</definedName>
    <definedName name="__MDE12" localSheetId="16">#REF!</definedName>
    <definedName name="__MDE12" localSheetId="9">#REF!</definedName>
    <definedName name="__MDE12">#REF!</definedName>
    <definedName name="__MDE13" localSheetId="7">#REF!</definedName>
    <definedName name="__MDE13" localSheetId="8">#REF!</definedName>
    <definedName name="__MDE13" localSheetId="16">#REF!</definedName>
    <definedName name="__MDE13" localSheetId="9">#REF!</definedName>
    <definedName name="__MDE13">#REF!</definedName>
    <definedName name="__MDE14" localSheetId="7">#REF!</definedName>
    <definedName name="__MDE14" localSheetId="8">#REF!</definedName>
    <definedName name="__MDE14" localSheetId="16">#REF!</definedName>
    <definedName name="__MDE14" localSheetId="9">#REF!</definedName>
    <definedName name="__MDE14">#REF!</definedName>
    <definedName name="__MDE15" localSheetId="7">#REF!</definedName>
    <definedName name="__MDE15" localSheetId="8">#REF!</definedName>
    <definedName name="__MDE15" localSheetId="16">#REF!</definedName>
    <definedName name="__MDE15" localSheetId="9">#REF!</definedName>
    <definedName name="__MDE15">#REF!</definedName>
    <definedName name="__MDE16" localSheetId="7">#REF!</definedName>
    <definedName name="__MDE16" localSheetId="8">#REF!</definedName>
    <definedName name="__MDE16" localSheetId="16">#REF!</definedName>
    <definedName name="__MDE16" localSheetId="9">#REF!</definedName>
    <definedName name="__MDE16">#REF!</definedName>
    <definedName name="__MDE17" localSheetId="7">#REF!</definedName>
    <definedName name="__MDE17" localSheetId="8">#REF!</definedName>
    <definedName name="__MDE17" localSheetId="16">#REF!</definedName>
    <definedName name="__MDE17" localSheetId="9">#REF!</definedName>
    <definedName name="__MDE17">#REF!</definedName>
    <definedName name="__MDE18" localSheetId="7">#REF!</definedName>
    <definedName name="__MDE18" localSheetId="8">#REF!</definedName>
    <definedName name="__MDE18" localSheetId="16">#REF!</definedName>
    <definedName name="__MDE18" localSheetId="9">#REF!</definedName>
    <definedName name="__MDE18">#REF!</definedName>
    <definedName name="__MDE19" localSheetId="7">#REF!</definedName>
    <definedName name="__MDE19" localSheetId="8">#REF!</definedName>
    <definedName name="__MDE19" localSheetId="16">#REF!</definedName>
    <definedName name="__MDE19" localSheetId="9">#REF!</definedName>
    <definedName name="__MDE19">#REF!</definedName>
    <definedName name="__MDE20" localSheetId="7">#REF!</definedName>
    <definedName name="__MDE20" localSheetId="8">#REF!</definedName>
    <definedName name="__MDE20" localSheetId="16">#REF!</definedName>
    <definedName name="__MDE20" localSheetId="9">#REF!</definedName>
    <definedName name="__MDE20">#REF!</definedName>
    <definedName name="__MDE21" localSheetId="7">#REF!</definedName>
    <definedName name="__MDE21" localSheetId="8">#REF!</definedName>
    <definedName name="__MDE21" localSheetId="16">#REF!</definedName>
    <definedName name="__MDE21" localSheetId="9">#REF!</definedName>
    <definedName name="__MDE21">#REF!</definedName>
    <definedName name="__MDE22" localSheetId="7">#REF!</definedName>
    <definedName name="__MDE22" localSheetId="8">#REF!</definedName>
    <definedName name="__MDE22" localSheetId="16">#REF!</definedName>
    <definedName name="__MDE22" localSheetId="9">#REF!</definedName>
    <definedName name="__MDE22">#REF!</definedName>
    <definedName name="__MDE23" localSheetId="7">#REF!</definedName>
    <definedName name="__MDE23" localSheetId="8">#REF!</definedName>
    <definedName name="__MDE23" localSheetId="16">#REF!</definedName>
    <definedName name="__MDE23" localSheetId="9">#REF!</definedName>
    <definedName name="__MDE23">#REF!</definedName>
    <definedName name="__MDE24" localSheetId="7">#REF!</definedName>
    <definedName name="__MDE24" localSheetId="8">#REF!</definedName>
    <definedName name="__MDE24" localSheetId="16">#REF!</definedName>
    <definedName name="__MDE24" localSheetId="9">#REF!</definedName>
    <definedName name="__MDE24">#REF!</definedName>
    <definedName name="__MDE25" localSheetId="7">#REF!</definedName>
    <definedName name="__MDE25" localSheetId="8">#REF!</definedName>
    <definedName name="__MDE25" localSheetId="16">#REF!</definedName>
    <definedName name="__MDE25" localSheetId="9">#REF!</definedName>
    <definedName name="__MDE25">#REF!</definedName>
    <definedName name="__MDE26">'[7]DIV.9 NP'!$BD$527</definedName>
    <definedName name="__MDE27" localSheetId="1">#REF!</definedName>
    <definedName name="__MDE27" localSheetId="7">#REF!</definedName>
    <definedName name="__MDE27" localSheetId="8">#REF!</definedName>
    <definedName name="__MDE27" localSheetId="16">#REF!</definedName>
    <definedName name="__MDE27" localSheetId="9">#REF!</definedName>
    <definedName name="__MDE27">#REF!</definedName>
    <definedName name="__MDE28" localSheetId="7">#REF!</definedName>
    <definedName name="__MDE28" localSheetId="8">#REF!</definedName>
    <definedName name="__MDE28" localSheetId="16">#REF!</definedName>
    <definedName name="__MDE28" localSheetId="9">#REF!</definedName>
    <definedName name="__MDE28">#REF!</definedName>
    <definedName name="__MDE29" localSheetId="7">#REF!</definedName>
    <definedName name="__MDE29" localSheetId="8">#REF!</definedName>
    <definedName name="__MDE29" localSheetId="16">#REF!</definedName>
    <definedName name="__MDE29" localSheetId="9">#REF!</definedName>
    <definedName name="__MDE29">#REF!</definedName>
    <definedName name="__MDE30" localSheetId="7">#REF!</definedName>
    <definedName name="__MDE30" localSheetId="8">#REF!</definedName>
    <definedName name="__MDE30" localSheetId="16">#REF!</definedName>
    <definedName name="__MDE30" localSheetId="9">#REF!</definedName>
    <definedName name="__MDE30">#REF!</definedName>
    <definedName name="__MDE31" localSheetId="7">#REF!</definedName>
    <definedName name="__MDE31" localSheetId="8">#REF!</definedName>
    <definedName name="__MDE31" localSheetId="16">#REF!</definedName>
    <definedName name="__MDE31" localSheetId="9">#REF!</definedName>
    <definedName name="__MDE31">#REF!</definedName>
    <definedName name="__MDE32" localSheetId="7">#REF!</definedName>
    <definedName name="__MDE32" localSheetId="8">#REF!</definedName>
    <definedName name="__MDE32" localSheetId="16">#REF!</definedName>
    <definedName name="__MDE32" localSheetId="9">#REF!</definedName>
    <definedName name="__MDE32">#REF!</definedName>
    <definedName name="__MDE33" localSheetId="7">#REF!</definedName>
    <definedName name="__MDE33" localSheetId="8">#REF!</definedName>
    <definedName name="__MDE33" localSheetId="16">#REF!</definedName>
    <definedName name="__MDE33" localSheetId="9">#REF!</definedName>
    <definedName name="__MDE33">#REF!</definedName>
    <definedName name="__MDE34" localSheetId="7">#REF!</definedName>
    <definedName name="__MDE34" localSheetId="8">#REF!</definedName>
    <definedName name="__MDE34" localSheetId="16">#REF!</definedName>
    <definedName name="__MDE34" localSheetId="9">#REF!</definedName>
    <definedName name="__MDE34">#REF!</definedName>
    <definedName name="__ME01" localSheetId="7">#REF!</definedName>
    <definedName name="__ME01" localSheetId="8">#REF!</definedName>
    <definedName name="__ME01" localSheetId="16">#REF!</definedName>
    <definedName name="__ME01" localSheetId="9">#REF!</definedName>
    <definedName name="__ME01">#REF!</definedName>
    <definedName name="__ME02" localSheetId="7">#REF!</definedName>
    <definedName name="__ME02" localSheetId="8">#REF!</definedName>
    <definedName name="__ME02" localSheetId="16">#REF!</definedName>
    <definedName name="__ME02" localSheetId="9">#REF!</definedName>
    <definedName name="__ME02">#REF!</definedName>
    <definedName name="__ME03" localSheetId="7">#REF!</definedName>
    <definedName name="__ME03" localSheetId="8">#REF!</definedName>
    <definedName name="__ME03" localSheetId="16">#REF!</definedName>
    <definedName name="__ME03" localSheetId="9">#REF!</definedName>
    <definedName name="__ME03">#REF!</definedName>
    <definedName name="__ME04" localSheetId="7">#REF!</definedName>
    <definedName name="__ME04" localSheetId="8">#REF!</definedName>
    <definedName name="__ME04" localSheetId="16">#REF!</definedName>
    <definedName name="__ME04" localSheetId="9">#REF!</definedName>
    <definedName name="__ME04">#REF!</definedName>
    <definedName name="__ME05" localSheetId="7">#REF!</definedName>
    <definedName name="__ME05" localSheetId="8">#REF!</definedName>
    <definedName name="__ME05" localSheetId="16">#REF!</definedName>
    <definedName name="__ME05" localSheetId="9">#REF!</definedName>
    <definedName name="__ME05">#REF!</definedName>
    <definedName name="__ME06" localSheetId="7">#REF!</definedName>
    <definedName name="__ME06" localSheetId="8">#REF!</definedName>
    <definedName name="__ME06" localSheetId="16">#REF!</definedName>
    <definedName name="__ME06" localSheetId="9">#REF!</definedName>
    <definedName name="__ME06">#REF!</definedName>
    <definedName name="__ME07" localSheetId="7">#REF!</definedName>
    <definedName name="__ME07" localSheetId="8">#REF!</definedName>
    <definedName name="__ME07" localSheetId="16">#REF!</definedName>
    <definedName name="__ME07" localSheetId="9">#REF!</definedName>
    <definedName name="__ME07">#REF!</definedName>
    <definedName name="__ME08" localSheetId="7">#REF!</definedName>
    <definedName name="__ME08" localSheetId="8">#REF!</definedName>
    <definedName name="__ME08" localSheetId="16">#REF!</definedName>
    <definedName name="__ME08" localSheetId="9">#REF!</definedName>
    <definedName name="__ME08">#REF!</definedName>
    <definedName name="__ME09" localSheetId="7">#REF!</definedName>
    <definedName name="__ME09" localSheetId="8">#REF!</definedName>
    <definedName name="__ME09" localSheetId="16">#REF!</definedName>
    <definedName name="__ME09" localSheetId="9">#REF!</definedName>
    <definedName name="__ME09">#REF!</definedName>
    <definedName name="__ME10" localSheetId="7">#REF!</definedName>
    <definedName name="__ME10" localSheetId="8">#REF!</definedName>
    <definedName name="__ME10" localSheetId="16">#REF!</definedName>
    <definedName name="__ME10" localSheetId="9">#REF!</definedName>
    <definedName name="__ME10">#REF!</definedName>
    <definedName name="__ME11" localSheetId="7">#REF!</definedName>
    <definedName name="__ME11" localSheetId="8">#REF!</definedName>
    <definedName name="__ME11" localSheetId="16">#REF!</definedName>
    <definedName name="__ME11" localSheetId="9">#REF!</definedName>
    <definedName name="__ME11">#REF!</definedName>
    <definedName name="__ME12" localSheetId="7">#REF!</definedName>
    <definedName name="__ME12" localSheetId="8">#REF!</definedName>
    <definedName name="__ME12" localSheetId="16">#REF!</definedName>
    <definedName name="__ME12" localSheetId="9">#REF!</definedName>
    <definedName name="__ME12">#REF!</definedName>
    <definedName name="__ME13" localSheetId="7">#REF!</definedName>
    <definedName name="__ME13" localSheetId="8">#REF!</definedName>
    <definedName name="__ME13" localSheetId="16">#REF!</definedName>
    <definedName name="__ME13" localSheetId="9">#REF!</definedName>
    <definedName name="__ME13">#REF!</definedName>
    <definedName name="__ME14" localSheetId="7">#REF!</definedName>
    <definedName name="__ME14" localSheetId="8">#REF!</definedName>
    <definedName name="__ME14" localSheetId="16">#REF!</definedName>
    <definedName name="__ME14" localSheetId="9">#REF!</definedName>
    <definedName name="__ME14">#REF!</definedName>
    <definedName name="__ME15" localSheetId="7">#REF!</definedName>
    <definedName name="__ME15" localSheetId="8">#REF!</definedName>
    <definedName name="__ME15" localSheetId="16">#REF!</definedName>
    <definedName name="__ME15" localSheetId="9">#REF!</definedName>
    <definedName name="__ME15">#REF!</definedName>
    <definedName name="__ME16" localSheetId="7">#REF!</definedName>
    <definedName name="__ME16" localSheetId="8">#REF!</definedName>
    <definedName name="__ME16" localSheetId="16">#REF!</definedName>
    <definedName name="__ME16" localSheetId="9">#REF!</definedName>
    <definedName name="__ME16">#REF!</definedName>
    <definedName name="__ME17" localSheetId="7">#REF!</definedName>
    <definedName name="__ME17" localSheetId="8">#REF!</definedName>
    <definedName name="__ME17" localSheetId="16">#REF!</definedName>
    <definedName name="__ME17" localSheetId="9">#REF!</definedName>
    <definedName name="__ME17">#REF!</definedName>
    <definedName name="__ME18" localSheetId="7">#REF!</definedName>
    <definedName name="__ME18" localSheetId="8">#REF!</definedName>
    <definedName name="__ME18" localSheetId="16">#REF!</definedName>
    <definedName name="__ME18" localSheetId="9">#REF!</definedName>
    <definedName name="__ME18">#REF!</definedName>
    <definedName name="__ME19" localSheetId="7">#REF!</definedName>
    <definedName name="__ME19" localSheetId="8">#REF!</definedName>
    <definedName name="__ME19" localSheetId="16">#REF!</definedName>
    <definedName name="__ME19" localSheetId="9">#REF!</definedName>
    <definedName name="__ME19">#REF!</definedName>
    <definedName name="__ME20" localSheetId="7">#REF!</definedName>
    <definedName name="__ME20" localSheetId="8">#REF!</definedName>
    <definedName name="__ME20" localSheetId="16">#REF!</definedName>
    <definedName name="__ME20" localSheetId="9">#REF!</definedName>
    <definedName name="__ME20">#REF!</definedName>
    <definedName name="__ME21" localSheetId="7">#REF!</definedName>
    <definedName name="__ME21" localSheetId="8">#REF!</definedName>
    <definedName name="__ME21" localSheetId="16">#REF!</definedName>
    <definedName name="__ME21" localSheetId="9">#REF!</definedName>
    <definedName name="__ME21">#REF!</definedName>
    <definedName name="__ME22" localSheetId="7">#REF!</definedName>
    <definedName name="__ME22" localSheetId="8">#REF!</definedName>
    <definedName name="__ME22" localSheetId="16">#REF!</definedName>
    <definedName name="__ME22" localSheetId="9">#REF!</definedName>
    <definedName name="__ME22">#REF!</definedName>
    <definedName name="__ME23" localSheetId="7">#REF!</definedName>
    <definedName name="__ME23" localSheetId="8">#REF!</definedName>
    <definedName name="__ME23" localSheetId="16">#REF!</definedName>
    <definedName name="__ME23" localSheetId="9">#REF!</definedName>
    <definedName name="__ME23">#REF!</definedName>
    <definedName name="__ME24" localSheetId="7">#REF!</definedName>
    <definedName name="__ME24" localSheetId="8">#REF!</definedName>
    <definedName name="__ME24" localSheetId="16">#REF!</definedName>
    <definedName name="__ME24" localSheetId="9">#REF!</definedName>
    <definedName name="__ME24">#REF!</definedName>
    <definedName name="__ME25" localSheetId="7">#REF!</definedName>
    <definedName name="__ME25" localSheetId="8">#REF!</definedName>
    <definedName name="__ME25" localSheetId="16">#REF!</definedName>
    <definedName name="__ME25" localSheetId="9">#REF!</definedName>
    <definedName name="__ME25">#REF!</definedName>
    <definedName name="__ME26">'[7]DIV.9 NP'!$BD$526</definedName>
    <definedName name="__ME27" localSheetId="1">#REF!</definedName>
    <definedName name="__ME27" localSheetId="7">#REF!</definedName>
    <definedName name="__ME27" localSheetId="8">#REF!</definedName>
    <definedName name="__ME27" localSheetId="16">#REF!</definedName>
    <definedName name="__ME27" localSheetId="9">#REF!</definedName>
    <definedName name="__ME27">#REF!</definedName>
    <definedName name="__ME28" localSheetId="7">#REF!</definedName>
    <definedName name="__ME28" localSheetId="8">#REF!</definedName>
    <definedName name="__ME28" localSheetId="16">#REF!</definedName>
    <definedName name="__ME28" localSheetId="9">#REF!</definedName>
    <definedName name="__ME28">#REF!</definedName>
    <definedName name="__ME29" localSheetId="7">#REF!</definedName>
    <definedName name="__ME29" localSheetId="8">#REF!</definedName>
    <definedName name="__ME29" localSheetId="16">#REF!</definedName>
    <definedName name="__ME29" localSheetId="9">#REF!</definedName>
    <definedName name="__ME29">#REF!</definedName>
    <definedName name="__ME30" localSheetId="7">#REF!</definedName>
    <definedName name="__ME30" localSheetId="8">#REF!</definedName>
    <definedName name="__ME30" localSheetId="16">#REF!</definedName>
    <definedName name="__ME30" localSheetId="9">#REF!</definedName>
    <definedName name="__ME30">#REF!</definedName>
    <definedName name="__ME31" localSheetId="7">#REF!</definedName>
    <definedName name="__ME31" localSheetId="8">#REF!</definedName>
    <definedName name="__ME31" localSheetId="16">#REF!</definedName>
    <definedName name="__ME31" localSheetId="9">#REF!</definedName>
    <definedName name="__ME31">#REF!</definedName>
    <definedName name="__ME32" localSheetId="7">#REF!</definedName>
    <definedName name="__ME32" localSheetId="8">#REF!</definedName>
    <definedName name="__ME32" localSheetId="16">#REF!</definedName>
    <definedName name="__ME32" localSheetId="9">#REF!</definedName>
    <definedName name="__ME32">#REF!</definedName>
    <definedName name="__ME33" localSheetId="7">#REF!</definedName>
    <definedName name="__ME33" localSheetId="8">#REF!</definedName>
    <definedName name="__ME33" localSheetId="16">#REF!</definedName>
    <definedName name="__ME33" localSheetId="9">#REF!</definedName>
    <definedName name="__ME33">#REF!</definedName>
    <definedName name="__ME34" localSheetId="7">#REF!</definedName>
    <definedName name="__ME34" localSheetId="8">#REF!</definedName>
    <definedName name="__ME34" localSheetId="16">#REF!</definedName>
    <definedName name="__ME34" localSheetId="9">#REF!</definedName>
    <definedName name="__ME34">#REF!</definedName>
    <definedName name="__mg3" localSheetId="7" hidden="1">#REF!</definedName>
    <definedName name="__mg3" localSheetId="8" hidden="1">#REF!</definedName>
    <definedName name="__mg3" localSheetId="16" hidden="1">#REF!</definedName>
    <definedName name="__mg3" localSheetId="9" hidden="1">#REF!</definedName>
    <definedName name="__mg3" hidden="1">#REF!</definedName>
    <definedName name="__Pvc3" localSheetId="7">[6]UPAH!#REF!</definedName>
    <definedName name="__Pvc3" localSheetId="8">[6]UPAH!#REF!</definedName>
    <definedName name="__Pvc3" localSheetId="16">[6]UPAH!#REF!</definedName>
    <definedName name="__Pvc3" localSheetId="9">[6]UPAH!#REF!</definedName>
    <definedName name="__Pvc3">[6]UPAH!#REF!</definedName>
    <definedName name="__Pvc4" localSheetId="7">[6]UPAH!#REF!</definedName>
    <definedName name="__Pvc4" localSheetId="8">[6]UPAH!#REF!</definedName>
    <definedName name="__Pvc4" localSheetId="16">[6]UPAH!#REF!</definedName>
    <definedName name="__Pvc4" localSheetId="9">[6]UPAH!#REF!</definedName>
    <definedName name="__Pvc4">[6]UPAH!#REF!</definedName>
    <definedName name="_1PRINT_ALIGN" localSheetId="1">#REF!</definedName>
    <definedName name="_1PRINT_ALIGN" localSheetId="7">#REF!</definedName>
    <definedName name="_1PRINT_ALIGN" localSheetId="8">#REF!</definedName>
    <definedName name="_1PRINT_ALIGN" localSheetId="16">#REF!</definedName>
    <definedName name="_1PRINT_ALIGN" localSheetId="9">#REF!</definedName>
    <definedName name="_1PRINT_ALIGN">#REF!</definedName>
    <definedName name="_2PRINT_OUTPUT" localSheetId="7">#REF!</definedName>
    <definedName name="_2PRINT_OUTPUT" localSheetId="8">#REF!</definedName>
    <definedName name="_2PRINT_OUTPUT" localSheetId="16">#REF!</definedName>
    <definedName name="_2PRINT_OUTPUT" localSheetId="9">#REF!</definedName>
    <definedName name="_2PRINT_OUTPUT">#REF!</definedName>
    <definedName name="_3DOWN_3" localSheetId="7">#REF!</definedName>
    <definedName name="_3DOWN_3" localSheetId="8">#REF!</definedName>
    <definedName name="_3DOWN_3" localSheetId="16">#REF!</definedName>
    <definedName name="_3DOWN_3" localSheetId="9">#REF!</definedName>
    <definedName name="_3DOWN_3">#REF!</definedName>
    <definedName name="_4HOME" localSheetId="7">#REF!</definedName>
    <definedName name="_4HOME" localSheetId="8">#REF!</definedName>
    <definedName name="_4HOME" localSheetId="16">#REF!</definedName>
    <definedName name="_4HOME" localSheetId="9">#REF!</definedName>
    <definedName name="_4HOME">#REF!</definedName>
    <definedName name="_5PGDN_2" localSheetId="7">#REF!</definedName>
    <definedName name="_5PGDN_2" localSheetId="8">#REF!</definedName>
    <definedName name="_5PGDN_2" localSheetId="16">#REF!</definedName>
    <definedName name="_5PGDN_2" localSheetId="9">#REF!</definedName>
    <definedName name="_5PGDN_2">#REF!</definedName>
    <definedName name="_6RIGHT_18" localSheetId="7">#REF!</definedName>
    <definedName name="_6RIGHT_18" localSheetId="8">#REF!</definedName>
    <definedName name="_6RIGHT_18" localSheetId="16">#REF!</definedName>
    <definedName name="_6RIGHT_18" localSheetId="9">#REF!</definedName>
    <definedName name="_6RIGHT_18">#REF!</definedName>
    <definedName name="_7RIGHT_6" localSheetId="7">#REF!</definedName>
    <definedName name="_7RIGHT_6" localSheetId="8">#REF!</definedName>
    <definedName name="_7RIGHT_6" localSheetId="16">#REF!</definedName>
    <definedName name="_7RIGHT_6" localSheetId="9">#REF!</definedName>
    <definedName name="_7RIGHT_6">#REF!</definedName>
    <definedName name="_AMD5">'[8]6th'!$O$13:$O$528</definedName>
    <definedName name="_Dist_Bin" localSheetId="1" hidden="1">#REF!</definedName>
    <definedName name="_Dist_Bin" localSheetId="7" hidden="1">#REF!</definedName>
    <definedName name="_Dist_Bin" localSheetId="8" hidden="1">#REF!</definedName>
    <definedName name="_Dist_Bin" localSheetId="16" hidden="1">#REF!</definedName>
    <definedName name="_Dist_Bin" localSheetId="9" hidden="1">#REF!</definedName>
    <definedName name="_Dist_Bin" hidden="1">#REF!</definedName>
    <definedName name="_DIV1" localSheetId="1">'[9]Kuantitas &amp; Harga'!$G$26</definedName>
    <definedName name="_DIV1">'[10]Kuantitas &amp; Harga'!$G$26</definedName>
    <definedName name="_DIV10" localSheetId="1">'[9]Kuantitas &amp; Harga'!$G$418</definedName>
    <definedName name="_DIV10">'[10]Kuantitas &amp; Harga'!$G$418</definedName>
    <definedName name="_DIV11" localSheetId="4">'[7]Kuantitas &amp; Harga'!#REF!</definedName>
    <definedName name="_DIV11" localSheetId="1">'[7]Kuantitas &amp; Harga'!#REF!</definedName>
    <definedName name="_DIV11" localSheetId="7">'[7]Kuantitas &amp; Harga'!#REF!</definedName>
    <definedName name="_DIV11" localSheetId="8">'[7]Kuantitas &amp; Harga'!#REF!</definedName>
    <definedName name="_DIV11" localSheetId="16">'[7]Kuantitas &amp; Harga'!#REF!</definedName>
    <definedName name="_DIV11" localSheetId="9">'[7]Kuantitas &amp; Harga'!#REF!</definedName>
    <definedName name="_DIV11">'[7]Kuantitas &amp; Harga'!#REF!</definedName>
    <definedName name="_DIV2" localSheetId="1">'[9]Kuantitas &amp; Harga'!$G$50</definedName>
    <definedName name="_DIV2">'[10]Kuantitas &amp; Harga'!$G$50</definedName>
    <definedName name="_DIV3" localSheetId="1">'[9]Kuantitas &amp; Harga'!$G$84</definedName>
    <definedName name="_DIV3">'[10]Kuantitas &amp; Harga'!$G$84</definedName>
    <definedName name="_DIV4" localSheetId="1">'[9]Kuantitas &amp; Harga'!$G$99</definedName>
    <definedName name="_DIV4">'[10]Kuantitas &amp; Harga'!$G$99</definedName>
    <definedName name="_DIV5" localSheetId="1">'[9]Kuantitas &amp; Harga'!$G$119</definedName>
    <definedName name="_DIV5">'[10]Kuantitas &amp; Harga'!$G$119</definedName>
    <definedName name="_DIV6" localSheetId="1">'[9]Kuantitas &amp; Harga'!$G$155</definedName>
    <definedName name="_DIV6">'[10]Kuantitas &amp; Harga'!$G$155</definedName>
    <definedName name="_DIV7" localSheetId="1">'[9]Kuantitas &amp; Harga'!$G$319</definedName>
    <definedName name="_DIV7">'[10]Kuantitas &amp; Harga'!$G$319</definedName>
    <definedName name="_DIV8" localSheetId="1">'[9]Kuantitas &amp; Harga'!$G$377</definedName>
    <definedName name="_DIV8">'[10]Kuantitas &amp; Harga'!$G$377</definedName>
    <definedName name="_DIV9" localSheetId="1">'[9]Kuantitas &amp; Harga'!$G$405</definedName>
    <definedName name="_DIV9">'[10]Kuantitas &amp; Harga'!$G$405</definedName>
    <definedName name="_E019">'[3]Upah&amp;Bahan'!$U$261</definedName>
    <definedName name="_e039">'[3]Upah&amp;Bahan'!$U$317</definedName>
    <definedName name="_e100">'[3]Upah&amp;Bahan'!$U$1045</definedName>
    <definedName name="_e101">'[3]Upah&amp;Bahan'!$U$1101</definedName>
    <definedName name="_e102">'[3]Upah&amp;Bahan'!$U$1157</definedName>
    <definedName name="_e103">'[3]Upah&amp;Bahan'!$U$1213</definedName>
    <definedName name="_e104">'[3]Upah&amp;Bahan'!$U$1612</definedName>
    <definedName name="_EEE01" localSheetId="4">'[11]An. Alat'!#REF!</definedName>
    <definedName name="_EEE01" localSheetId="1">'[11]An. Alat'!#REF!</definedName>
    <definedName name="_EEE01" localSheetId="7">'[11]An. Alat'!#REF!</definedName>
    <definedName name="_EEE01" localSheetId="8">'[11]An. Alat'!#REF!</definedName>
    <definedName name="_EEE01" localSheetId="16">'[11]An. Alat'!#REF!</definedName>
    <definedName name="_EEE01" localSheetId="9">'[11]An. Alat'!#REF!</definedName>
    <definedName name="_EEE01">'[11]An. Alat'!#REF!</definedName>
    <definedName name="_EEE02" localSheetId="1">'[11]An. Alat'!#REF!</definedName>
    <definedName name="_EEE02" localSheetId="7">'[11]An. Alat'!#REF!</definedName>
    <definedName name="_EEE02" localSheetId="8">'[11]An. Alat'!#REF!</definedName>
    <definedName name="_EEE02" localSheetId="16">'[11]An. Alat'!#REF!</definedName>
    <definedName name="_EEE02" localSheetId="9">'[11]An. Alat'!#REF!</definedName>
    <definedName name="_EEE02">'[11]An. Alat'!#REF!</definedName>
    <definedName name="_EEE03" localSheetId="7">'[11]An. Alat'!#REF!</definedName>
    <definedName name="_EEE03" localSheetId="8">'[11]An. Alat'!#REF!</definedName>
    <definedName name="_EEE03" localSheetId="16">'[11]An. Alat'!#REF!</definedName>
    <definedName name="_EEE03" localSheetId="9">'[11]An. Alat'!#REF!</definedName>
    <definedName name="_EEE03">'[11]An. Alat'!#REF!</definedName>
    <definedName name="_EEE04" localSheetId="7">'[11]An. Alat'!#REF!</definedName>
    <definedName name="_EEE04" localSheetId="8">'[11]An. Alat'!#REF!</definedName>
    <definedName name="_EEE04" localSheetId="16">'[11]An. Alat'!#REF!</definedName>
    <definedName name="_EEE04" localSheetId="9">'[11]An. Alat'!#REF!</definedName>
    <definedName name="_EEE04">'[11]An. Alat'!#REF!</definedName>
    <definedName name="_EEE05" localSheetId="7">'[11]An. Alat'!#REF!</definedName>
    <definedName name="_EEE05" localSheetId="8">'[11]An. Alat'!#REF!</definedName>
    <definedName name="_EEE05" localSheetId="16">'[11]An. Alat'!#REF!</definedName>
    <definedName name="_EEE05" localSheetId="9">'[11]An. Alat'!#REF!</definedName>
    <definedName name="_EEE05">'[11]An. Alat'!#REF!</definedName>
    <definedName name="_EEE06" localSheetId="7">'[11]An. Alat'!#REF!</definedName>
    <definedName name="_EEE06" localSheetId="8">'[11]An. Alat'!#REF!</definedName>
    <definedName name="_EEE06" localSheetId="16">'[11]An. Alat'!#REF!</definedName>
    <definedName name="_EEE06" localSheetId="9">'[11]An. Alat'!#REF!</definedName>
    <definedName name="_EEE06">'[11]An. Alat'!#REF!</definedName>
    <definedName name="_EEE07" localSheetId="7">'[11]An. Alat'!#REF!</definedName>
    <definedName name="_EEE07" localSheetId="8">'[11]An. Alat'!#REF!</definedName>
    <definedName name="_EEE07" localSheetId="16">'[11]An. Alat'!#REF!</definedName>
    <definedName name="_EEE07" localSheetId="9">'[11]An. Alat'!#REF!</definedName>
    <definedName name="_EEE07">'[11]An. Alat'!#REF!</definedName>
    <definedName name="_EEE08" localSheetId="7">'[11]An. Alat'!#REF!</definedName>
    <definedName name="_EEE08" localSheetId="8">'[11]An. Alat'!#REF!</definedName>
    <definedName name="_EEE08" localSheetId="16">'[11]An. Alat'!#REF!</definedName>
    <definedName name="_EEE08" localSheetId="9">'[11]An. Alat'!#REF!</definedName>
    <definedName name="_EEE08">'[11]An. Alat'!#REF!</definedName>
    <definedName name="_EEE09" localSheetId="7">'[11]An. Alat'!#REF!</definedName>
    <definedName name="_EEE09" localSheetId="8">'[11]An. Alat'!#REF!</definedName>
    <definedName name="_EEE09" localSheetId="16">'[11]An. Alat'!#REF!</definedName>
    <definedName name="_EEE09" localSheetId="9">'[11]An. Alat'!#REF!</definedName>
    <definedName name="_EEE09">'[11]An. Alat'!#REF!</definedName>
    <definedName name="_EEE10" localSheetId="7">'[11]An. Alat'!#REF!</definedName>
    <definedName name="_EEE10" localSheetId="8">'[11]An. Alat'!#REF!</definedName>
    <definedName name="_EEE10" localSheetId="16">'[11]An. Alat'!#REF!</definedName>
    <definedName name="_EEE10" localSheetId="9">'[11]An. Alat'!#REF!</definedName>
    <definedName name="_EEE10">'[11]An. Alat'!#REF!</definedName>
    <definedName name="_EEE11" localSheetId="7">'[11]An. Alat'!#REF!</definedName>
    <definedName name="_EEE11" localSheetId="8">'[11]An. Alat'!#REF!</definedName>
    <definedName name="_EEE11" localSheetId="16">'[11]An. Alat'!#REF!</definedName>
    <definedName name="_EEE11" localSheetId="9">'[11]An. Alat'!#REF!</definedName>
    <definedName name="_EEE11">'[11]An. Alat'!#REF!</definedName>
    <definedName name="_EEE12" localSheetId="7">'[11]An. Alat'!#REF!</definedName>
    <definedName name="_EEE12" localSheetId="8">'[11]An. Alat'!#REF!</definedName>
    <definedName name="_EEE12" localSheetId="16">'[11]An. Alat'!#REF!</definedName>
    <definedName name="_EEE12" localSheetId="9">'[11]An. Alat'!#REF!</definedName>
    <definedName name="_EEE12">'[11]An. Alat'!#REF!</definedName>
    <definedName name="_EEE13" localSheetId="7">'[11]An. Alat'!#REF!</definedName>
    <definedName name="_EEE13" localSheetId="8">'[11]An. Alat'!#REF!</definedName>
    <definedName name="_EEE13" localSheetId="16">'[11]An. Alat'!#REF!</definedName>
    <definedName name="_EEE13" localSheetId="9">'[11]An. Alat'!#REF!</definedName>
    <definedName name="_EEE13">'[11]An. Alat'!#REF!</definedName>
    <definedName name="_EEE14" localSheetId="7">'[11]An. Alat'!#REF!</definedName>
    <definedName name="_EEE14" localSheetId="8">'[11]An. Alat'!#REF!</definedName>
    <definedName name="_EEE14" localSheetId="16">'[11]An. Alat'!#REF!</definedName>
    <definedName name="_EEE14" localSheetId="9">'[11]An. Alat'!#REF!</definedName>
    <definedName name="_EEE14">'[11]An. Alat'!#REF!</definedName>
    <definedName name="_EEE15" localSheetId="7">'[11]An. Alat'!#REF!</definedName>
    <definedName name="_EEE15" localSheetId="8">'[11]An. Alat'!#REF!</definedName>
    <definedName name="_EEE15" localSheetId="16">'[11]An. Alat'!#REF!</definedName>
    <definedName name="_EEE15" localSheetId="9">'[11]An. Alat'!#REF!</definedName>
    <definedName name="_EEE15">'[11]An. Alat'!#REF!</definedName>
    <definedName name="_EEE16" localSheetId="7">'[11]An. Alat'!#REF!</definedName>
    <definedName name="_EEE16" localSheetId="8">'[11]An. Alat'!#REF!</definedName>
    <definedName name="_EEE16" localSheetId="16">'[11]An. Alat'!#REF!</definedName>
    <definedName name="_EEE16" localSheetId="9">'[11]An. Alat'!#REF!</definedName>
    <definedName name="_EEE16">'[11]An. Alat'!#REF!</definedName>
    <definedName name="_EEE17" localSheetId="7">'[11]An. Alat'!#REF!</definedName>
    <definedName name="_EEE17" localSheetId="8">'[11]An. Alat'!#REF!</definedName>
    <definedName name="_EEE17" localSheetId="16">'[11]An. Alat'!#REF!</definedName>
    <definedName name="_EEE17" localSheetId="9">'[11]An. Alat'!#REF!</definedName>
    <definedName name="_EEE17">'[11]An. Alat'!#REF!</definedName>
    <definedName name="_EEE18" localSheetId="7">'[11]An. Alat'!#REF!</definedName>
    <definedName name="_EEE18" localSheetId="8">'[11]An. Alat'!#REF!</definedName>
    <definedName name="_EEE18" localSheetId="16">'[11]An. Alat'!#REF!</definedName>
    <definedName name="_EEE18" localSheetId="9">'[11]An. Alat'!#REF!</definedName>
    <definedName name="_EEE18">'[11]An. Alat'!#REF!</definedName>
    <definedName name="_EEE19" localSheetId="7">'[11]An. Alat'!#REF!</definedName>
    <definedName name="_EEE19" localSheetId="8">'[11]An. Alat'!#REF!</definedName>
    <definedName name="_EEE19" localSheetId="16">'[11]An. Alat'!#REF!</definedName>
    <definedName name="_EEE19" localSheetId="9">'[11]An. Alat'!#REF!</definedName>
    <definedName name="_EEE19">'[11]An. Alat'!#REF!</definedName>
    <definedName name="_EEE20" localSheetId="7">'[11]An. Alat'!#REF!</definedName>
    <definedName name="_EEE20" localSheetId="8">'[11]An. Alat'!#REF!</definedName>
    <definedName name="_EEE20" localSheetId="16">'[11]An. Alat'!#REF!</definedName>
    <definedName name="_EEE20" localSheetId="9">'[11]An. Alat'!#REF!</definedName>
    <definedName name="_EEE20">'[11]An. Alat'!#REF!</definedName>
    <definedName name="_EEE21" localSheetId="7">'[11]An. Alat'!#REF!</definedName>
    <definedName name="_EEE21" localSheetId="8">'[11]An. Alat'!#REF!</definedName>
    <definedName name="_EEE21" localSheetId="16">'[11]An. Alat'!#REF!</definedName>
    <definedName name="_EEE21" localSheetId="9">'[11]An. Alat'!#REF!</definedName>
    <definedName name="_EEE21">'[11]An. Alat'!#REF!</definedName>
    <definedName name="_EEE22" localSheetId="7">'[11]An. Alat'!#REF!</definedName>
    <definedName name="_EEE22" localSheetId="8">'[11]An. Alat'!#REF!</definedName>
    <definedName name="_EEE22" localSheetId="16">'[11]An. Alat'!#REF!</definedName>
    <definedName name="_EEE22" localSheetId="9">'[11]An. Alat'!#REF!</definedName>
    <definedName name="_EEE22">'[11]An. Alat'!#REF!</definedName>
    <definedName name="_EEE23" localSheetId="7">'[11]An. Alat'!#REF!</definedName>
    <definedName name="_EEE23" localSheetId="8">'[11]An. Alat'!#REF!</definedName>
    <definedName name="_EEE23" localSheetId="16">'[11]An. Alat'!#REF!</definedName>
    <definedName name="_EEE23" localSheetId="9">'[11]An. Alat'!#REF!</definedName>
    <definedName name="_EEE23">'[11]An. Alat'!#REF!</definedName>
    <definedName name="_EEE24" localSheetId="7">'[11]An. Alat'!#REF!</definedName>
    <definedName name="_EEE24" localSheetId="8">'[11]An. Alat'!#REF!</definedName>
    <definedName name="_EEE24" localSheetId="16">'[11]An. Alat'!#REF!</definedName>
    <definedName name="_EEE24" localSheetId="9">'[11]An. Alat'!#REF!</definedName>
    <definedName name="_EEE24">'[11]An. Alat'!#REF!</definedName>
    <definedName name="_EEE25" localSheetId="7">'[11]An. Alat'!#REF!</definedName>
    <definedName name="_EEE25" localSheetId="8">'[11]An. Alat'!#REF!</definedName>
    <definedName name="_EEE25" localSheetId="16">'[11]An. Alat'!#REF!</definedName>
    <definedName name="_EEE25" localSheetId="9">'[11]An. Alat'!#REF!</definedName>
    <definedName name="_EEE25">'[11]An. Alat'!#REF!</definedName>
    <definedName name="_EEE26" localSheetId="7">'[11]An. Alat'!#REF!</definedName>
    <definedName name="_EEE26" localSheetId="8">'[11]An. Alat'!#REF!</definedName>
    <definedName name="_EEE26" localSheetId="16">'[11]An. Alat'!#REF!</definedName>
    <definedName name="_EEE26" localSheetId="9">'[11]An. Alat'!#REF!</definedName>
    <definedName name="_EEE26">'[11]An. Alat'!#REF!</definedName>
    <definedName name="_EEE27" localSheetId="7">'[11]An. Alat'!#REF!</definedName>
    <definedName name="_EEE27" localSheetId="8">'[11]An. Alat'!#REF!</definedName>
    <definedName name="_EEE27" localSheetId="16">'[11]An. Alat'!#REF!</definedName>
    <definedName name="_EEE27" localSheetId="9">'[11]An. Alat'!#REF!</definedName>
    <definedName name="_EEE27">'[11]An. Alat'!#REF!</definedName>
    <definedName name="_EEE28" localSheetId="7">'[11]An. Alat'!#REF!</definedName>
    <definedName name="_EEE28" localSheetId="8">'[11]An. Alat'!#REF!</definedName>
    <definedName name="_EEE28" localSheetId="16">'[11]An. Alat'!#REF!</definedName>
    <definedName name="_EEE28" localSheetId="9">'[11]An. Alat'!#REF!</definedName>
    <definedName name="_EEE28">'[11]An. Alat'!#REF!</definedName>
    <definedName name="_EEE29" localSheetId="7">'[11]An. Alat'!#REF!</definedName>
    <definedName name="_EEE29" localSheetId="8">'[11]An. Alat'!#REF!</definedName>
    <definedName name="_EEE29" localSheetId="16">'[11]An. Alat'!#REF!</definedName>
    <definedName name="_EEE29" localSheetId="9">'[11]An. Alat'!#REF!</definedName>
    <definedName name="_EEE29">'[11]An. Alat'!#REF!</definedName>
    <definedName name="_EEE30" localSheetId="7">'[11]An. Alat'!#REF!</definedName>
    <definedName name="_EEE30" localSheetId="8">'[11]An. Alat'!#REF!</definedName>
    <definedName name="_EEE30" localSheetId="16">'[11]An. Alat'!#REF!</definedName>
    <definedName name="_EEE30" localSheetId="9">'[11]An. Alat'!#REF!</definedName>
    <definedName name="_EEE30">'[11]An. Alat'!#REF!</definedName>
    <definedName name="_EEE31" localSheetId="7">'[11]An. Alat'!#REF!</definedName>
    <definedName name="_EEE31" localSheetId="8">'[11]An. Alat'!#REF!</definedName>
    <definedName name="_EEE31" localSheetId="16">'[11]An. Alat'!#REF!</definedName>
    <definedName name="_EEE31" localSheetId="9">'[11]An. Alat'!#REF!</definedName>
    <definedName name="_EEE31">'[11]An. Alat'!#REF!</definedName>
    <definedName name="_EEE32" localSheetId="7">'[11]An. Alat'!#REF!</definedName>
    <definedName name="_EEE32" localSheetId="8">'[11]An. Alat'!#REF!</definedName>
    <definedName name="_EEE32" localSheetId="16">'[11]An. Alat'!#REF!</definedName>
    <definedName name="_EEE32" localSheetId="9">'[11]An. Alat'!#REF!</definedName>
    <definedName name="_EEE32">'[11]An. Alat'!#REF!</definedName>
    <definedName name="_EEE33" localSheetId="7">'[11]An. Alat'!#REF!</definedName>
    <definedName name="_EEE33" localSheetId="8">'[11]An. Alat'!#REF!</definedName>
    <definedName name="_EEE33" localSheetId="16">'[11]An. Alat'!#REF!</definedName>
    <definedName name="_EEE33" localSheetId="9">'[11]An. Alat'!#REF!</definedName>
    <definedName name="_EEE33">'[11]An. Alat'!#REF!</definedName>
    <definedName name="_Fill" localSheetId="1" hidden="1">#REF!</definedName>
    <definedName name="_Fill" localSheetId="7" hidden="1">#REF!</definedName>
    <definedName name="_Fill" localSheetId="8" hidden="1">#REF!</definedName>
    <definedName name="_Fill" localSheetId="16" hidden="1">#REF!</definedName>
    <definedName name="_Fill" localSheetId="9" hidden="1">#REF!</definedName>
    <definedName name="_Fill" hidden="1">#REF!</definedName>
    <definedName name="_xlnm._FilterDatabase" localSheetId="1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16" hidden="1">#REF!</definedName>
    <definedName name="_xlnm._FilterDatabase" localSheetId="0" hidden="1">#REF!</definedName>
    <definedName name="_xlnm._FilterDatabase" localSheetId="9" hidden="1">#REF!</definedName>
    <definedName name="_xlnm._FilterDatabase" hidden="1">#REF!</definedName>
    <definedName name="_frm74">[12]NP!$L$1322:$V$1382</definedName>
    <definedName name="_fun" hidden="1">'[3]Upah&amp;Bahan'!$A$40:$A$113</definedName>
    <definedName name="_HAL1">'[7]Kuantitas &amp; Harga'!$A$1:$H$86</definedName>
    <definedName name="_HAL2">'[7]Kuantitas &amp; Harga'!$A$87:$H$121</definedName>
    <definedName name="_HAL3">'[7]Kuantitas &amp; Harga'!$A$122:$H$155</definedName>
    <definedName name="_HAL4">'[7]Kuantitas &amp; Harga'!$A$156:$H$208</definedName>
    <definedName name="_HAL5">'[7]Kuantitas &amp; Harga'!$A$209:$H$272</definedName>
    <definedName name="_HAL6">'[7]Kuantitas &amp; Harga'!$A$256:$H$306</definedName>
    <definedName name="_HAL7">'[7]Kuantitas &amp; Harga'!$A$307:$H$358</definedName>
    <definedName name="_HAL8">'[7]Kuantitas &amp; Harga'!$A$359:$H$400</definedName>
    <definedName name="_Ibr1" localSheetId="1">#REF!</definedName>
    <definedName name="_Ibr1" localSheetId="7">#REF!</definedName>
    <definedName name="_Ibr1" localSheetId="8">#REF!</definedName>
    <definedName name="_Ibr1" localSheetId="16">#REF!</definedName>
    <definedName name="_Ibr1" localSheetId="9">#REF!</definedName>
    <definedName name="_Ibr1">#REF!</definedName>
    <definedName name="_Key1" hidden="1">[13]Schdule!$Z$16</definedName>
    <definedName name="_LLL01">'[7]Basic Price'!$F$10</definedName>
    <definedName name="_LLL02" localSheetId="4">'[7]Basic Price'!#REF!</definedName>
    <definedName name="_LLL02" localSheetId="1">'[7]Basic Price'!#REF!</definedName>
    <definedName name="_LLL02" localSheetId="7">'[7]Basic Price'!#REF!</definedName>
    <definedName name="_LLL02" localSheetId="8">'[7]Basic Price'!#REF!</definedName>
    <definedName name="_LLL02" localSheetId="16">'[7]Basic Price'!#REF!</definedName>
    <definedName name="_LLL02" localSheetId="9">'[7]Basic Price'!#REF!</definedName>
    <definedName name="_LLL02">'[7]Basic Price'!#REF!</definedName>
    <definedName name="_LLL03">'[7]Basic Price'!$F$12</definedName>
    <definedName name="_LLL04" localSheetId="4">'[7]Basic Price'!#REF!</definedName>
    <definedName name="_LLL04" localSheetId="1">'[7]Basic Price'!#REF!</definedName>
    <definedName name="_LLL04" localSheetId="7">'[7]Basic Price'!#REF!</definedName>
    <definedName name="_LLL04" localSheetId="8">'[7]Basic Price'!#REF!</definedName>
    <definedName name="_LLL04" localSheetId="16">'[7]Basic Price'!#REF!</definedName>
    <definedName name="_LLL04" localSheetId="9">'[7]Basic Price'!#REF!</definedName>
    <definedName name="_LLL04">'[7]Basic Price'!#REF!</definedName>
    <definedName name="_LLL05" localSheetId="1">'[7]Basic Price'!#REF!</definedName>
    <definedName name="_LLL05" localSheetId="7">'[7]Basic Price'!#REF!</definedName>
    <definedName name="_LLL05" localSheetId="8">'[7]Basic Price'!#REF!</definedName>
    <definedName name="_LLL05" localSheetId="16">'[7]Basic Price'!#REF!</definedName>
    <definedName name="_LLL05" localSheetId="9">'[7]Basic Price'!#REF!</definedName>
    <definedName name="_LLL05">'[7]Basic Price'!#REF!</definedName>
    <definedName name="_LLL06" localSheetId="7">'[7]Basic Price'!#REF!</definedName>
    <definedName name="_LLL06" localSheetId="8">'[7]Basic Price'!#REF!</definedName>
    <definedName name="_LLL06" localSheetId="16">'[7]Basic Price'!#REF!</definedName>
    <definedName name="_LLL06" localSheetId="9">'[7]Basic Price'!#REF!</definedName>
    <definedName name="_LLL06">'[7]Basic Price'!#REF!</definedName>
    <definedName name="_LLL07" localSheetId="7">'[7]Basic Price'!#REF!</definedName>
    <definedName name="_LLL07" localSheetId="8">'[7]Basic Price'!#REF!</definedName>
    <definedName name="_LLL07" localSheetId="16">'[7]Basic Price'!#REF!</definedName>
    <definedName name="_LLL07" localSheetId="9">'[7]Basic Price'!#REF!</definedName>
    <definedName name="_LLL07">'[7]Basic Price'!#REF!</definedName>
    <definedName name="_LLL08" localSheetId="7">'[7]Basic Price'!#REF!</definedName>
    <definedName name="_LLL08" localSheetId="8">'[7]Basic Price'!#REF!</definedName>
    <definedName name="_LLL08" localSheetId="16">'[7]Basic Price'!#REF!</definedName>
    <definedName name="_LLL08" localSheetId="9">'[7]Basic Price'!#REF!</definedName>
    <definedName name="_LLL08">'[7]Basic Price'!#REF!</definedName>
    <definedName name="_LLL09" localSheetId="7">'[7]Basic Price'!#REF!</definedName>
    <definedName name="_LLL09" localSheetId="8">'[7]Basic Price'!#REF!</definedName>
    <definedName name="_LLL09" localSheetId="16">'[7]Basic Price'!#REF!</definedName>
    <definedName name="_LLL09" localSheetId="9">'[7]Basic Price'!#REF!</definedName>
    <definedName name="_LLL09">'[7]Basic Price'!#REF!</definedName>
    <definedName name="_LLL10" localSheetId="7">'[7]Basic Price'!#REF!</definedName>
    <definedName name="_LLL10" localSheetId="8">'[7]Basic Price'!#REF!</definedName>
    <definedName name="_LLL10" localSheetId="16">'[7]Basic Price'!#REF!</definedName>
    <definedName name="_LLL10" localSheetId="9">'[7]Basic Price'!#REF!</definedName>
    <definedName name="_LLL10">'[7]Basic Price'!#REF!</definedName>
    <definedName name="_LLL11" localSheetId="7">'[7]Basic Price'!#REF!</definedName>
    <definedName name="_LLL11" localSheetId="8">'[7]Basic Price'!#REF!</definedName>
    <definedName name="_LLL11" localSheetId="16">'[7]Basic Price'!#REF!</definedName>
    <definedName name="_LLL11" localSheetId="9">'[7]Basic Price'!#REF!</definedName>
    <definedName name="_LLL11">'[7]Basic Price'!#REF!</definedName>
    <definedName name="_lmb1" localSheetId="1">#REF!</definedName>
    <definedName name="_lmb1" localSheetId="7">#REF!</definedName>
    <definedName name="_lmb1" localSheetId="8">#REF!</definedName>
    <definedName name="_lmb1" localSheetId="16">#REF!</definedName>
    <definedName name="_lmb1" localSheetId="9">#REF!</definedName>
    <definedName name="_lmb1">#REF!</definedName>
    <definedName name="_MatInverse_Out" localSheetId="1" hidden="1">#REF!</definedName>
    <definedName name="_MatInverse_Out" localSheetId="7" hidden="1">#REF!</definedName>
    <definedName name="_MatInverse_Out" localSheetId="8" hidden="1">#REF!</definedName>
    <definedName name="_MatInverse_Out" localSheetId="16" hidden="1">#REF!</definedName>
    <definedName name="_MatInverse_Out" localSheetId="9" hidden="1">#REF!</definedName>
    <definedName name="_MatInverse_Out" hidden="1">#REF!</definedName>
    <definedName name="_MatMult_A" localSheetId="7" hidden="1">#REF!</definedName>
    <definedName name="_MatMult_A" localSheetId="8" hidden="1">#REF!</definedName>
    <definedName name="_MatMult_A" localSheetId="16" hidden="1">#REF!</definedName>
    <definedName name="_MatMult_A" localSheetId="9" hidden="1">#REF!</definedName>
    <definedName name="_MatMult_A" hidden="1">#REF!</definedName>
    <definedName name="_MatMult_AxB" localSheetId="7" hidden="1">#REF!</definedName>
    <definedName name="_MatMult_AxB" localSheetId="8" hidden="1">#REF!</definedName>
    <definedName name="_MatMult_AxB" localSheetId="16" hidden="1">#REF!</definedName>
    <definedName name="_MatMult_AxB" localSheetId="9" hidden="1">#REF!</definedName>
    <definedName name="_MatMult_AxB" hidden="1">#REF!</definedName>
    <definedName name="_MatMult_B" localSheetId="7" hidden="1">#REF!</definedName>
    <definedName name="_MatMult_B" localSheetId="8" hidden="1">#REF!</definedName>
    <definedName name="_MatMult_B" localSheetId="16" hidden="1">#REF!</definedName>
    <definedName name="_MatMult_B" localSheetId="9" hidden="1">#REF!</definedName>
    <definedName name="_MatMult_B" hidden="1">#REF!</definedName>
    <definedName name="_MDE01" localSheetId="7">'[11]An. Alat'!#REF!</definedName>
    <definedName name="_MDE01" localSheetId="8">'[11]An. Alat'!#REF!</definedName>
    <definedName name="_MDE01" localSheetId="16">'[11]An. Alat'!#REF!</definedName>
    <definedName name="_MDE01" localSheetId="9">'[11]An. Alat'!#REF!</definedName>
    <definedName name="_MDE01">'[11]An. Alat'!#REF!</definedName>
    <definedName name="_MDE02" localSheetId="7">'[11]An. Alat'!#REF!</definedName>
    <definedName name="_MDE02" localSheetId="8">'[11]An. Alat'!#REF!</definedName>
    <definedName name="_MDE02" localSheetId="16">'[11]An. Alat'!#REF!</definedName>
    <definedName name="_MDE02" localSheetId="9">'[11]An. Alat'!#REF!</definedName>
    <definedName name="_MDE02">'[11]An. Alat'!#REF!</definedName>
    <definedName name="_MDE03" localSheetId="7">'[11]An. Alat'!#REF!</definedName>
    <definedName name="_MDE03" localSheetId="8">'[11]An. Alat'!#REF!</definedName>
    <definedName name="_MDE03" localSheetId="16">'[11]An. Alat'!#REF!</definedName>
    <definedName name="_MDE03" localSheetId="9">'[11]An. Alat'!#REF!</definedName>
    <definedName name="_MDE03">'[11]An. Alat'!#REF!</definedName>
    <definedName name="_MDE04" localSheetId="7">'[11]An. Alat'!#REF!</definedName>
    <definedName name="_MDE04" localSheetId="8">'[11]An. Alat'!#REF!</definedName>
    <definedName name="_MDE04" localSheetId="16">'[11]An. Alat'!#REF!</definedName>
    <definedName name="_MDE04" localSheetId="9">'[11]An. Alat'!#REF!</definedName>
    <definedName name="_MDE04">'[11]An. Alat'!#REF!</definedName>
    <definedName name="_MDE05" localSheetId="7">'[11]An. Alat'!#REF!</definedName>
    <definedName name="_MDE05" localSheetId="8">'[11]An. Alat'!#REF!</definedName>
    <definedName name="_MDE05" localSheetId="16">'[11]An. Alat'!#REF!</definedName>
    <definedName name="_MDE05" localSheetId="9">'[11]An. Alat'!#REF!</definedName>
    <definedName name="_MDE05">'[11]An. Alat'!#REF!</definedName>
    <definedName name="_MDE06" localSheetId="7">'[11]An. Alat'!#REF!</definedName>
    <definedName name="_MDE06" localSheetId="8">'[11]An. Alat'!#REF!</definedName>
    <definedName name="_MDE06" localSheetId="16">'[11]An. Alat'!#REF!</definedName>
    <definedName name="_MDE06" localSheetId="9">'[11]An. Alat'!#REF!</definedName>
    <definedName name="_MDE06">'[11]An. Alat'!#REF!</definedName>
    <definedName name="_MDE07" localSheetId="7">'[11]An. Alat'!#REF!</definedName>
    <definedName name="_MDE07" localSheetId="8">'[11]An. Alat'!#REF!</definedName>
    <definedName name="_MDE07" localSheetId="16">'[11]An. Alat'!#REF!</definedName>
    <definedName name="_MDE07" localSheetId="9">'[11]An. Alat'!#REF!</definedName>
    <definedName name="_MDE07">'[11]An. Alat'!#REF!</definedName>
    <definedName name="_MDE08" localSheetId="7">'[11]An. Alat'!#REF!</definedName>
    <definedName name="_MDE08" localSheetId="8">'[11]An. Alat'!#REF!</definedName>
    <definedName name="_MDE08" localSheetId="16">'[11]An. Alat'!#REF!</definedName>
    <definedName name="_MDE08" localSheetId="9">'[11]An. Alat'!#REF!</definedName>
    <definedName name="_MDE08">'[11]An. Alat'!#REF!</definedName>
    <definedName name="_MDE09" localSheetId="7">'[11]An. Alat'!#REF!</definedName>
    <definedName name="_MDE09" localSheetId="8">'[11]An. Alat'!#REF!</definedName>
    <definedName name="_MDE09" localSheetId="16">'[11]An. Alat'!#REF!</definedName>
    <definedName name="_MDE09" localSheetId="9">'[11]An. Alat'!#REF!</definedName>
    <definedName name="_MDE09">'[11]An. Alat'!#REF!</definedName>
    <definedName name="_MDE10" localSheetId="7">'[11]An. Alat'!#REF!</definedName>
    <definedName name="_MDE10" localSheetId="8">'[11]An. Alat'!#REF!</definedName>
    <definedName name="_MDE10" localSheetId="16">'[11]An. Alat'!#REF!</definedName>
    <definedName name="_MDE10" localSheetId="9">'[11]An. Alat'!#REF!</definedName>
    <definedName name="_MDE10">'[11]An. Alat'!#REF!</definedName>
    <definedName name="_MDE11" localSheetId="7">'[11]An. Alat'!#REF!</definedName>
    <definedName name="_MDE11" localSheetId="8">'[11]An. Alat'!#REF!</definedName>
    <definedName name="_MDE11" localSheetId="16">'[11]An. Alat'!#REF!</definedName>
    <definedName name="_MDE11" localSheetId="9">'[11]An. Alat'!#REF!</definedName>
    <definedName name="_MDE11">'[11]An. Alat'!#REF!</definedName>
    <definedName name="_MDE12" localSheetId="7">'[11]An. Alat'!#REF!</definedName>
    <definedName name="_MDE12" localSheetId="8">'[11]An. Alat'!#REF!</definedName>
    <definedName name="_MDE12" localSheetId="16">'[11]An. Alat'!#REF!</definedName>
    <definedName name="_MDE12" localSheetId="9">'[11]An. Alat'!#REF!</definedName>
    <definedName name="_MDE12">'[11]An. Alat'!#REF!</definedName>
    <definedName name="_MDE13" localSheetId="7">'[11]An. Alat'!#REF!</definedName>
    <definedName name="_MDE13" localSheetId="8">'[11]An. Alat'!#REF!</definedName>
    <definedName name="_MDE13" localSheetId="16">'[11]An. Alat'!#REF!</definedName>
    <definedName name="_MDE13" localSheetId="9">'[11]An. Alat'!#REF!</definedName>
    <definedName name="_MDE13">'[11]An. Alat'!#REF!</definedName>
    <definedName name="_MDE14" localSheetId="7">'[11]An. Alat'!#REF!</definedName>
    <definedName name="_MDE14" localSheetId="8">'[11]An. Alat'!#REF!</definedName>
    <definedName name="_MDE14" localSheetId="16">'[11]An. Alat'!#REF!</definedName>
    <definedName name="_MDE14" localSheetId="9">'[11]An. Alat'!#REF!</definedName>
    <definedName name="_MDE14">'[11]An. Alat'!#REF!</definedName>
    <definedName name="_MDE15" localSheetId="7">'[11]An. Alat'!#REF!</definedName>
    <definedName name="_MDE15" localSheetId="8">'[11]An. Alat'!#REF!</definedName>
    <definedName name="_MDE15" localSheetId="16">'[11]An. Alat'!#REF!</definedName>
    <definedName name="_MDE15" localSheetId="9">'[11]An. Alat'!#REF!</definedName>
    <definedName name="_MDE15">'[11]An. Alat'!#REF!</definedName>
    <definedName name="_MDE16" localSheetId="7">'[11]An. Alat'!#REF!</definedName>
    <definedName name="_MDE16" localSheetId="8">'[11]An. Alat'!#REF!</definedName>
    <definedName name="_MDE16" localSheetId="16">'[11]An. Alat'!#REF!</definedName>
    <definedName name="_MDE16" localSheetId="9">'[11]An. Alat'!#REF!</definedName>
    <definedName name="_MDE16">'[11]An. Alat'!#REF!</definedName>
    <definedName name="_MDE17" localSheetId="7">'[11]An. Alat'!#REF!</definedName>
    <definedName name="_MDE17" localSheetId="8">'[11]An. Alat'!#REF!</definedName>
    <definedName name="_MDE17" localSheetId="16">'[11]An. Alat'!#REF!</definedName>
    <definedName name="_MDE17" localSheetId="9">'[11]An. Alat'!#REF!</definedName>
    <definedName name="_MDE17">'[11]An. Alat'!#REF!</definedName>
    <definedName name="_MDE18" localSheetId="7">'[11]An. Alat'!#REF!</definedName>
    <definedName name="_MDE18" localSheetId="8">'[11]An. Alat'!#REF!</definedName>
    <definedName name="_MDE18" localSheetId="16">'[11]An. Alat'!#REF!</definedName>
    <definedName name="_MDE18" localSheetId="9">'[11]An. Alat'!#REF!</definedName>
    <definedName name="_MDE18">'[11]An. Alat'!#REF!</definedName>
    <definedName name="_MDE19" localSheetId="7">'[11]An. Alat'!#REF!</definedName>
    <definedName name="_MDE19" localSheetId="8">'[11]An. Alat'!#REF!</definedName>
    <definedName name="_MDE19" localSheetId="16">'[11]An. Alat'!#REF!</definedName>
    <definedName name="_MDE19" localSheetId="9">'[11]An. Alat'!#REF!</definedName>
    <definedName name="_MDE19">'[11]An. Alat'!#REF!</definedName>
    <definedName name="_MDE20" localSheetId="7">'[11]An. Alat'!#REF!</definedName>
    <definedName name="_MDE20" localSheetId="8">'[11]An. Alat'!#REF!</definedName>
    <definedName name="_MDE20" localSheetId="16">'[11]An. Alat'!#REF!</definedName>
    <definedName name="_MDE20" localSheetId="9">'[11]An. Alat'!#REF!</definedName>
    <definedName name="_MDE20">'[11]An. Alat'!#REF!</definedName>
    <definedName name="_MDE21" localSheetId="7">'[11]An. Alat'!#REF!</definedName>
    <definedName name="_MDE21" localSheetId="8">'[11]An. Alat'!#REF!</definedName>
    <definedName name="_MDE21" localSheetId="16">'[11]An. Alat'!#REF!</definedName>
    <definedName name="_MDE21" localSheetId="9">'[11]An. Alat'!#REF!</definedName>
    <definedName name="_MDE21">'[11]An. Alat'!#REF!</definedName>
    <definedName name="_MDE22" localSheetId="7">'[11]An. Alat'!#REF!</definedName>
    <definedName name="_MDE22" localSheetId="8">'[11]An. Alat'!#REF!</definedName>
    <definedName name="_MDE22" localSheetId="16">'[11]An. Alat'!#REF!</definedName>
    <definedName name="_MDE22" localSheetId="9">'[11]An. Alat'!#REF!</definedName>
    <definedName name="_MDE22">'[11]An. Alat'!#REF!</definedName>
    <definedName name="_MDE23" localSheetId="7">'[11]An. Alat'!#REF!</definedName>
    <definedName name="_MDE23" localSheetId="8">'[11]An. Alat'!#REF!</definedName>
    <definedName name="_MDE23" localSheetId="16">'[11]An. Alat'!#REF!</definedName>
    <definedName name="_MDE23" localSheetId="9">'[11]An. Alat'!#REF!</definedName>
    <definedName name="_MDE23">'[11]An. Alat'!#REF!</definedName>
    <definedName name="_MDE24" localSheetId="7">'[11]An. Alat'!#REF!</definedName>
    <definedName name="_MDE24" localSheetId="8">'[11]An. Alat'!#REF!</definedName>
    <definedName name="_MDE24" localSheetId="16">'[11]An. Alat'!#REF!</definedName>
    <definedName name="_MDE24" localSheetId="9">'[11]An. Alat'!#REF!</definedName>
    <definedName name="_MDE24">'[11]An. Alat'!#REF!</definedName>
    <definedName name="_MDE25" localSheetId="7">'[11]An. Alat'!#REF!</definedName>
    <definedName name="_MDE25" localSheetId="8">'[11]An. Alat'!#REF!</definedName>
    <definedName name="_MDE25" localSheetId="16">'[11]An. Alat'!#REF!</definedName>
    <definedName name="_MDE25" localSheetId="9">'[11]An. Alat'!#REF!</definedName>
    <definedName name="_MDE25">'[11]An. Alat'!#REF!</definedName>
    <definedName name="_MDE26" localSheetId="7">'[11]An. Alat'!#REF!</definedName>
    <definedName name="_MDE26" localSheetId="8">'[11]An. Alat'!#REF!</definedName>
    <definedName name="_MDE26" localSheetId="16">'[11]An. Alat'!#REF!</definedName>
    <definedName name="_MDE26" localSheetId="9">'[11]An. Alat'!#REF!</definedName>
    <definedName name="_MDE26">'[11]An. Alat'!#REF!</definedName>
    <definedName name="_MDE27" localSheetId="7">'[11]An. Alat'!#REF!</definedName>
    <definedName name="_MDE27" localSheetId="8">'[11]An. Alat'!#REF!</definedName>
    <definedName name="_MDE27" localSheetId="16">'[11]An. Alat'!#REF!</definedName>
    <definedName name="_MDE27" localSheetId="9">'[11]An. Alat'!#REF!</definedName>
    <definedName name="_MDE27">'[11]An. Alat'!#REF!</definedName>
    <definedName name="_MDE28" localSheetId="7">'[11]An. Alat'!#REF!</definedName>
    <definedName name="_MDE28" localSheetId="8">'[11]An. Alat'!#REF!</definedName>
    <definedName name="_MDE28" localSheetId="16">'[11]An. Alat'!#REF!</definedName>
    <definedName name="_MDE28" localSheetId="9">'[11]An. Alat'!#REF!</definedName>
    <definedName name="_MDE28">'[11]An. Alat'!#REF!</definedName>
    <definedName name="_MDE29" localSheetId="7">'[11]An. Alat'!#REF!</definedName>
    <definedName name="_MDE29" localSheetId="8">'[11]An. Alat'!#REF!</definedName>
    <definedName name="_MDE29" localSheetId="16">'[11]An. Alat'!#REF!</definedName>
    <definedName name="_MDE29" localSheetId="9">'[11]An. Alat'!#REF!</definedName>
    <definedName name="_MDE29">'[11]An. Alat'!#REF!</definedName>
    <definedName name="_MDE30" localSheetId="7">'[11]An. Alat'!#REF!</definedName>
    <definedName name="_MDE30" localSheetId="8">'[11]An. Alat'!#REF!</definedName>
    <definedName name="_MDE30" localSheetId="16">'[11]An. Alat'!#REF!</definedName>
    <definedName name="_MDE30" localSheetId="9">'[11]An. Alat'!#REF!</definedName>
    <definedName name="_MDE30">'[11]An. Alat'!#REF!</definedName>
    <definedName name="_MDE31" localSheetId="7">'[11]An. Alat'!#REF!</definedName>
    <definedName name="_MDE31" localSheetId="8">'[11]An. Alat'!#REF!</definedName>
    <definedName name="_MDE31" localSheetId="16">'[11]An. Alat'!#REF!</definedName>
    <definedName name="_MDE31" localSheetId="9">'[11]An. Alat'!#REF!</definedName>
    <definedName name="_MDE31">'[11]An. Alat'!#REF!</definedName>
    <definedName name="_MDE32" localSheetId="7">'[11]An. Alat'!#REF!</definedName>
    <definedName name="_MDE32" localSheetId="8">'[11]An. Alat'!#REF!</definedName>
    <definedName name="_MDE32" localSheetId="16">'[11]An. Alat'!#REF!</definedName>
    <definedName name="_MDE32" localSheetId="9">'[11]An. Alat'!#REF!</definedName>
    <definedName name="_MDE32">'[11]An. Alat'!#REF!</definedName>
    <definedName name="_MDE33" localSheetId="7">'[11]An. Alat'!#REF!</definedName>
    <definedName name="_MDE33" localSheetId="8">'[11]An. Alat'!#REF!</definedName>
    <definedName name="_MDE33" localSheetId="16">'[11]An. Alat'!#REF!</definedName>
    <definedName name="_MDE33" localSheetId="9">'[11]An. Alat'!#REF!</definedName>
    <definedName name="_MDE33">'[11]An. Alat'!#REF!</definedName>
    <definedName name="_MDE34" localSheetId="7">'[11]An. Alat'!#REF!</definedName>
    <definedName name="_MDE34" localSheetId="8">'[11]An. Alat'!#REF!</definedName>
    <definedName name="_MDE34" localSheetId="16">'[11]An. Alat'!#REF!</definedName>
    <definedName name="_MDE34" localSheetId="9">'[11]An. Alat'!#REF!</definedName>
    <definedName name="_MDE34">'[11]An. Alat'!#REF!</definedName>
    <definedName name="_MDE35" localSheetId="1">#REF!</definedName>
    <definedName name="_MDE35" localSheetId="7">#REF!</definedName>
    <definedName name="_MDE35" localSheetId="8">#REF!</definedName>
    <definedName name="_MDE35" localSheetId="16">#REF!</definedName>
    <definedName name="_MDE35" localSheetId="9">#REF!</definedName>
    <definedName name="_MDE35">#REF!</definedName>
    <definedName name="_MDE36" localSheetId="7">#REF!</definedName>
    <definedName name="_MDE36" localSheetId="8">#REF!</definedName>
    <definedName name="_MDE36" localSheetId="16">#REF!</definedName>
    <definedName name="_MDE36" localSheetId="9">#REF!</definedName>
    <definedName name="_MDE36">#REF!</definedName>
    <definedName name="_MDE37" localSheetId="7">#REF!</definedName>
    <definedName name="_MDE37" localSheetId="8">#REF!</definedName>
    <definedName name="_MDE37" localSheetId="16">#REF!</definedName>
    <definedName name="_MDE37" localSheetId="9">#REF!</definedName>
    <definedName name="_MDE37">#REF!</definedName>
    <definedName name="_MDE38" localSheetId="7">#REF!</definedName>
    <definedName name="_MDE38" localSheetId="8">#REF!</definedName>
    <definedName name="_MDE38" localSheetId="16">#REF!</definedName>
    <definedName name="_MDE38" localSheetId="9">#REF!</definedName>
    <definedName name="_MDE38">#REF!</definedName>
    <definedName name="_MDE39" localSheetId="7">#REF!</definedName>
    <definedName name="_MDE39" localSheetId="8">#REF!</definedName>
    <definedName name="_MDE39" localSheetId="16">#REF!</definedName>
    <definedName name="_MDE39" localSheetId="9">#REF!</definedName>
    <definedName name="_MDE39">#REF!</definedName>
    <definedName name="_MDE40" localSheetId="7">#REF!</definedName>
    <definedName name="_MDE40" localSheetId="8">#REF!</definedName>
    <definedName name="_MDE40" localSheetId="16">#REF!</definedName>
    <definedName name="_MDE40" localSheetId="9">#REF!</definedName>
    <definedName name="_MDE40">#REF!</definedName>
    <definedName name="_MDE41" localSheetId="7">#REF!</definedName>
    <definedName name="_MDE41" localSheetId="8">#REF!</definedName>
    <definedName name="_MDE41" localSheetId="16">#REF!</definedName>
    <definedName name="_MDE41" localSheetId="9">#REF!</definedName>
    <definedName name="_MDE41">#REF!</definedName>
    <definedName name="_MDE42" localSheetId="7">#REF!</definedName>
    <definedName name="_MDE42" localSheetId="8">#REF!</definedName>
    <definedName name="_MDE42" localSheetId="16">#REF!</definedName>
    <definedName name="_MDE42" localSheetId="9">#REF!</definedName>
    <definedName name="_MDE42">#REF!</definedName>
    <definedName name="_MDE43" localSheetId="7">#REF!</definedName>
    <definedName name="_MDE43" localSheetId="8">#REF!</definedName>
    <definedName name="_MDE43" localSheetId="16">#REF!</definedName>
    <definedName name="_MDE43" localSheetId="9">#REF!</definedName>
    <definedName name="_MDE43">#REF!</definedName>
    <definedName name="_MDE44" localSheetId="7">#REF!</definedName>
    <definedName name="_MDE44" localSheetId="8">#REF!</definedName>
    <definedName name="_MDE44" localSheetId="16">#REF!</definedName>
    <definedName name="_MDE44" localSheetId="9">#REF!</definedName>
    <definedName name="_MDE44">#REF!</definedName>
    <definedName name="_MDE45" localSheetId="7">#REF!</definedName>
    <definedName name="_MDE45" localSheetId="8">#REF!</definedName>
    <definedName name="_MDE45" localSheetId="16">#REF!</definedName>
    <definedName name="_MDE45" localSheetId="9">#REF!</definedName>
    <definedName name="_MDE45">#REF!</definedName>
    <definedName name="_MDE46" localSheetId="7">#REF!</definedName>
    <definedName name="_MDE46" localSheetId="8">#REF!</definedName>
    <definedName name="_MDE46" localSheetId="16">#REF!</definedName>
    <definedName name="_MDE46" localSheetId="9">#REF!</definedName>
    <definedName name="_MDE46">#REF!</definedName>
    <definedName name="_MDE47" localSheetId="7">#REF!</definedName>
    <definedName name="_MDE47" localSheetId="8">#REF!</definedName>
    <definedName name="_MDE47" localSheetId="16">#REF!</definedName>
    <definedName name="_MDE47" localSheetId="9">#REF!</definedName>
    <definedName name="_MDE47">#REF!</definedName>
    <definedName name="_MDE48" localSheetId="7">#REF!</definedName>
    <definedName name="_MDE48" localSheetId="8">#REF!</definedName>
    <definedName name="_MDE48" localSheetId="16">#REF!</definedName>
    <definedName name="_MDE48" localSheetId="9">#REF!</definedName>
    <definedName name="_MDE48">#REF!</definedName>
    <definedName name="_MDE49" localSheetId="7">#REF!</definedName>
    <definedName name="_MDE49" localSheetId="8">#REF!</definedName>
    <definedName name="_MDE49" localSheetId="16">#REF!</definedName>
    <definedName name="_MDE49" localSheetId="9">#REF!</definedName>
    <definedName name="_MDE49">#REF!</definedName>
    <definedName name="_MDE50" localSheetId="7">#REF!</definedName>
    <definedName name="_MDE50" localSheetId="8">#REF!</definedName>
    <definedName name="_MDE50" localSheetId="16">#REF!</definedName>
    <definedName name="_MDE50" localSheetId="9">#REF!</definedName>
    <definedName name="_MDE50">#REF!</definedName>
    <definedName name="_MDE51" localSheetId="7">#REF!</definedName>
    <definedName name="_MDE51" localSheetId="8">#REF!</definedName>
    <definedName name="_MDE51" localSheetId="16">#REF!</definedName>
    <definedName name="_MDE51" localSheetId="9">#REF!</definedName>
    <definedName name="_MDE51">#REF!</definedName>
    <definedName name="_MDE52" localSheetId="7">#REF!</definedName>
    <definedName name="_MDE52" localSheetId="8">#REF!</definedName>
    <definedName name="_MDE52" localSheetId="16">#REF!</definedName>
    <definedName name="_MDE52" localSheetId="9">#REF!</definedName>
    <definedName name="_MDE52">#REF!</definedName>
    <definedName name="_MDE53" localSheetId="7">#REF!</definedName>
    <definedName name="_MDE53" localSheetId="8">#REF!</definedName>
    <definedName name="_MDE53" localSheetId="16">#REF!</definedName>
    <definedName name="_MDE53" localSheetId="9">#REF!</definedName>
    <definedName name="_MDE53">#REF!</definedName>
    <definedName name="_MDE54" localSheetId="7">#REF!</definedName>
    <definedName name="_MDE54" localSheetId="8">#REF!</definedName>
    <definedName name="_MDE54" localSheetId="16">#REF!</definedName>
    <definedName name="_MDE54" localSheetId="9">#REF!</definedName>
    <definedName name="_MDE54">#REF!</definedName>
    <definedName name="_MDE55" localSheetId="7">#REF!</definedName>
    <definedName name="_MDE55" localSheetId="8">#REF!</definedName>
    <definedName name="_MDE55" localSheetId="16">#REF!</definedName>
    <definedName name="_MDE55" localSheetId="9">#REF!</definedName>
    <definedName name="_MDE55">#REF!</definedName>
    <definedName name="_MDE56" localSheetId="7">#REF!</definedName>
    <definedName name="_MDE56" localSheetId="8">#REF!</definedName>
    <definedName name="_MDE56" localSheetId="16">#REF!</definedName>
    <definedName name="_MDE56" localSheetId="9">#REF!</definedName>
    <definedName name="_MDE56">#REF!</definedName>
    <definedName name="_MDE57" localSheetId="7">#REF!</definedName>
    <definedName name="_MDE57" localSheetId="8">#REF!</definedName>
    <definedName name="_MDE57" localSheetId="16">#REF!</definedName>
    <definedName name="_MDE57" localSheetId="9">#REF!</definedName>
    <definedName name="_MDE57">#REF!</definedName>
    <definedName name="_MDE58" localSheetId="7">#REF!</definedName>
    <definedName name="_MDE58" localSheetId="8">#REF!</definedName>
    <definedName name="_MDE58" localSheetId="16">#REF!</definedName>
    <definedName name="_MDE58" localSheetId="9">#REF!</definedName>
    <definedName name="_MDE58">#REF!</definedName>
    <definedName name="_MDE59" localSheetId="7">#REF!</definedName>
    <definedName name="_MDE59" localSheetId="8">#REF!</definedName>
    <definedName name="_MDE59" localSheetId="16">#REF!</definedName>
    <definedName name="_MDE59" localSheetId="9">#REF!</definedName>
    <definedName name="_MDE59">#REF!</definedName>
    <definedName name="_MDE60" localSheetId="7">#REF!</definedName>
    <definedName name="_MDE60" localSheetId="8">#REF!</definedName>
    <definedName name="_MDE60" localSheetId="16">#REF!</definedName>
    <definedName name="_MDE60" localSheetId="9">#REF!</definedName>
    <definedName name="_MDE60">#REF!</definedName>
    <definedName name="_MDE61" localSheetId="7">#REF!</definedName>
    <definedName name="_MDE61" localSheetId="8">#REF!</definedName>
    <definedName name="_MDE61" localSheetId="16">#REF!</definedName>
    <definedName name="_MDE61" localSheetId="9">#REF!</definedName>
    <definedName name="_MDE61">#REF!</definedName>
    <definedName name="_MDE62" localSheetId="7">#REF!</definedName>
    <definedName name="_MDE62" localSheetId="8">#REF!</definedName>
    <definedName name="_MDE62" localSheetId="16">#REF!</definedName>
    <definedName name="_MDE62" localSheetId="9">#REF!</definedName>
    <definedName name="_MDE62">#REF!</definedName>
    <definedName name="_MDE63" localSheetId="7">#REF!</definedName>
    <definedName name="_MDE63" localSheetId="8">#REF!</definedName>
    <definedName name="_MDE63" localSheetId="16">#REF!</definedName>
    <definedName name="_MDE63" localSheetId="9">#REF!</definedName>
    <definedName name="_MDE63">#REF!</definedName>
    <definedName name="_MDE64" localSheetId="7">#REF!</definedName>
    <definedName name="_MDE64" localSheetId="8">#REF!</definedName>
    <definedName name="_MDE64" localSheetId="16">#REF!</definedName>
    <definedName name="_MDE64" localSheetId="9">#REF!</definedName>
    <definedName name="_MDE64">#REF!</definedName>
    <definedName name="_MDE65" localSheetId="7">#REF!</definedName>
    <definedName name="_MDE65" localSheetId="8">#REF!</definedName>
    <definedName name="_MDE65" localSheetId="16">#REF!</definedName>
    <definedName name="_MDE65" localSheetId="9">#REF!</definedName>
    <definedName name="_MDE65">#REF!</definedName>
    <definedName name="_MDE66" localSheetId="7">#REF!</definedName>
    <definedName name="_MDE66" localSheetId="8">#REF!</definedName>
    <definedName name="_MDE66" localSheetId="16">#REF!</definedName>
    <definedName name="_MDE66" localSheetId="9">#REF!</definedName>
    <definedName name="_MDE66">#REF!</definedName>
    <definedName name="_MDE67" localSheetId="7">#REF!</definedName>
    <definedName name="_MDE67" localSheetId="8">#REF!</definedName>
    <definedName name="_MDE67" localSheetId="16">#REF!</definedName>
    <definedName name="_MDE67" localSheetId="9">#REF!</definedName>
    <definedName name="_MDE67">#REF!</definedName>
    <definedName name="_MDE68" localSheetId="7">#REF!</definedName>
    <definedName name="_MDE68" localSheetId="8">#REF!</definedName>
    <definedName name="_MDE68" localSheetId="16">#REF!</definedName>
    <definedName name="_MDE68" localSheetId="9">#REF!</definedName>
    <definedName name="_MDE68">#REF!</definedName>
    <definedName name="_ME01" localSheetId="7">'[11]An. Alat'!#REF!</definedName>
    <definedName name="_ME01" localSheetId="8">'[11]An. Alat'!#REF!</definedName>
    <definedName name="_ME01" localSheetId="16">'[11]An. Alat'!#REF!</definedName>
    <definedName name="_ME01" localSheetId="9">'[11]An. Alat'!#REF!</definedName>
    <definedName name="_ME01">'[11]An. Alat'!#REF!</definedName>
    <definedName name="_ME02" localSheetId="7">'[11]An. Alat'!#REF!</definedName>
    <definedName name="_ME02" localSheetId="8">'[11]An. Alat'!#REF!</definedName>
    <definedName name="_ME02" localSheetId="16">'[11]An. Alat'!#REF!</definedName>
    <definedName name="_ME02" localSheetId="9">'[11]An. Alat'!#REF!</definedName>
    <definedName name="_ME02">'[11]An. Alat'!#REF!</definedName>
    <definedName name="_ME03" localSheetId="7">'[11]An. Alat'!#REF!</definedName>
    <definedName name="_ME03" localSheetId="8">'[11]An. Alat'!#REF!</definedName>
    <definedName name="_ME03" localSheetId="16">'[11]An. Alat'!#REF!</definedName>
    <definedName name="_ME03" localSheetId="9">'[11]An. Alat'!#REF!</definedName>
    <definedName name="_ME03">'[11]An. Alat'!#REF!</definedName>
    <definedName name="_ME04" localSheetId="7">'[11]An. Alat'!#REF!</definedName>
    <definedName name="_ME04" localSheetId="8">'[11]An. Alat'!#REF!</definedName>
    <definedName name="_ME04" localSheetId="16">'[11]An. Alat'!#REF!</definedName>
    <definedName name="_ME04" localSheetId="9">'[11]An. Alat'!#REF!</definedName>
    <definedName name="_ME04">'[11]An. Alat'!#REF!</definedName>
    <definedName name="_ME05" localSheetId="7">'[11]An. Alat'!#REF!</definedName>
    <definedName name="_ME05" localSheetId="8">'[11]An. Alat'!#REF!</definedName>
    <definedName name="_ME05" localSheetId="16">'[11]An. Alat'!#REF!</definedName>
    <definedName name="_ME05" localSheetId="9">'[11]An. Alat'!#REF!</definedName>
    <definedName name="_ME05">'[11]An. Alat'!#REF!</definedName>
    <definedName name="_ME06" localSheetId="7">'[11]An. Alat'!#REF!</definedName>
    <definedName name="_ME06" localSheetId="8">'[11]An. Alat'!#REF!</definedName>
    <definedName name="_ME06" localSheetId="16">'[11]An. Alat'!#REF!</definedName>
    <definedName name="_ME06" localSheetId="9">'[11]An. Alat'!#REF!</definedName>
    <definedName name="_ME06">'[11]An. Alat'!#REF!</definedName>
    <definedName name="_ME07" localSheetId="7">'[11]An. Alat'!#REF!</definedName>
    <definedName name="_ME07" localSheetId="8">'[11]An. Alat'!#REF!</definedName>
    <definedName name="_ME07" localSheetId="16">'[11]An. Alat'!#REF!</definedName>
    <definedName name="_ME07" localSheetId="9">'[11]An. Alat'!#REF!</definedName>
    <definedName name="_ME07">'[11]An. Alat'!#REF!</definedName>
    <definedName name="_ME08" localSheetId="7">'[11]An. Alat'!#REF!</definedName>
    <definedName name="_ME08" localSheetId="8">'[11]An. Alat'!#REF!</definedName>
    <definedName name="_ME08" localSheetId="16">'[11]An. Alat'!#REF!</definedName>
    <definedName name="_ME08" localSheetId="9">'[11]An. Alat'!#REF!</definedName>
    <definedName name="_ME08">'[11]An. Alat'!#REF!</definedName>
    <definedName name="_ME09" localSheetId="7">'[11]An. Alat'!#REF!</definedName>
    <definedName name="_ME09" localSheetId="8">'[11]An. Alat'!#REF!</definedName>
    <definedName name="_ME09" localSheetId="16">'[11]An. Alat'!#REF!</definedName>
    <definedName name="_ME09" localSheetId="9">'[11]An. Alat'!#REF!</definedName>
    <definedName name="_ME09">'[11]An. Alat'!#REF!</definedName>
    <definedName name="_ME10" localSheetId="7">'[11]An. Alat'!#REF!</definedName>
    <definedName name="_ME10" localSheetId="8">'[11]An. Alat'!#REF!</definedName>
    <definedName name="_ME10" localSheetId="16">'[11]An. Alat'!#REF!</definedName>
    <definedName name="_ME10" localSheetId="9">'[11]An. Alat'!#REF!</definedName>
    <definedName name="_ME10">'[11]An. Alat'!#REF!</definedName>
    <definedName name="_ME11" localSheetId="7">'[11]An. Alat'!#REF!</definedName>
    <definedName name="_ME11" localSheetId="8">'[11]An. Alat'!#REF!</definedName>
    <definedName name="_ME11" localSheetId="16">'[11]An. Alat'!#REF!</definedName>
    <definedName name="_ME11" localSheetId="9">'[11]An. Alat'!#REF!</definedName>
    <definedName name="_ME11">'[11]An. Alat'!#REF!</definedName>
    <definedName name="_ME12" localSheetId="7">'[11]An. Alat'!#REF!</definedName>
    <definedName name="_ME12" localSheetId="8">'[11]An. Alat'!#REF!</definedName>
    <definedName name="_ME12" localSheetId="16">'[11]An. Alat'!#REF!</definedName>
    <definedName name="_ME12" localSheetId="9">'[11]An. Alat'!#REF!</definedName>
    <definedName name="_ME12">'[11]An. Alat'!#REF!</definedName>
    <definedName name="_ME13" localSheetId="7">'[11]An. Alat'!#REF!</definedName>
    <definedName name="_ME13" localSheetId="8">'[11]An. Alat'!#REF!</definedName>
    <definedName name="_ME13" localSheetId="16">'[11]An. Alat'!#REF!</definedName>
    <definedName name="_ME13" localSheetId="9">'[11]An. Alat'!#REF!</definedName>
    <definedName name="_ME13">'[11]An. Alat'!#REF!</definedName>
    <definedName name="_ME14" localSheetId="7">'[11]An. Alat'!#REF!</definedName>
    <definedName name="_ME14" localSheetId="8">'[11]An. Alat'!#REF!</definedName>
    <definedName name="_ME14" localSheetId="16">'[11]An. Alat'!#REF!</definedName>
    <definedName name="_ME14" localSheetId="9">'[11]An. Alat'!#REF!</definedName>
    <definedName name="_ME14">'[11]An. Alat'!#REF!</definedName>
    <definedName name="_ME15" localSheetId="7">'[11]An. Alat'!#REF!</definedName>
    <definedName name="_ME15" localSheetId="8">'[11]An. Alat'!#REF!</definedName>
    <definedName name="_ME15" localSheetId="16">'[11]An. Alat'!#REF!</definedName>
    <definedName name="_ME15" localSheetId="9">'[11]An. Alat'!#REF!</definedName>
    <definedName name="_ME15">'[11]An. Alat'!#REF!</definedName>
    <definedName name="_ME16" localSheetId="7">'[11]An. Alat'!#REF!</definedName>
    <definedName name="_ME16" localSheetId="8">'[11]An. Alat'!#REF!</definedName>
    <definedName name="_ME16" localSheetId="16">'[11]An. Alat'!#REF!</definedName>
    <definedName name="_ME16" localSheetId="9">'[11]An. Alat'!#REF!</definedName>
    <definedName name="_ME16">'[11]An. Alat'!#REF!</definedName>
    <definedName name="_ME17" localSheetId="7">'[11]An. Alat'!#REF!</definedName>
    <definedName name="_ME17" localSheetId="8">'[11]An. Alat'!#REF!</definedName>
    <definedName name="_ME17" localSheetId="16">'[11]An. Alat'!#REF!</definedName>
    <definedName name="_ME17" localSheetId="9">'[11]An. Alat'!#REF!</definedName>
    <definedName name="_ME17">'[11]An. Alat'!#REF!</definedName>
    <definedName name="_ME18" localSheetId="7">'[11]An. Alat'!#REF!</definedName>
    <definedName name="_ME18" localSheetId="8">'[11]An. Alat'!#REF!</definedName>
    <definedName name="_ME18" localSheetId="16">'[11]An. Alat'!#REF!</definedName>
    <definedName name="_ME18" localSheetId="9">'[11]An. Alat'!#REF!</definedName>
    <definedName name="_ME18">'[11]An. Alat'!#REF!</definedName>
    <definedName name="_ME19" localSheetId="7">'[11]An. Alat'!#REF!</definedName>
    <definedName name="_ME19" localSheetId="8">'[11]An. Alat'!#REF!</definedName>
    <definedName name="_ME19" localSheetId="16">'[11]An. Alat'!#REF!</definedName>
    <definedName name="_ME19" localSheetId="9">'[11]An. Alat'!#REF!</definedName>
    <definedName name="_ME19">'[11]An. Alat'!#REF!</definedName>
    <definedName name="_ME20" localSheetId="7">'[11]An. Alat'!#REF!</definedName>
    <definedName name="_ME20" localSheetId="8">'[11]An. Alat'!#REF!</definedName>
    <definedName name="_ME20" localSheetId="16">'[11]An. Alat'!#REF!</definedName>
    <definedName name="_ME20" localSheetId="9">'[11]An. Alat'!#REF!</definedName>
    <definedName name="_ME20">'[11]An. Alat'!#REF!</definedName>
    <definedName name="_ME21" localSheetId="7">'[11]An. Alat'!#REF!</definedName>
    <definedName name="_ME21" localSheetId="8">'[11]An. Alat'!#REF!</definedName>
    <definedName name="_ME21" localSheetId="16">'[11]An. Alat'!#REF!</definedName>
    <definedName name="_ME21" localSheetId="9">'[11]An. Alat'!#REF!</definedName>
    <definedName name="_ME21">'[11]An. Alat'!#REF!</definedName>
    <definedName name="_ME22" localSheetId="7">'[11]An. Alat'!#REF!</definedName>
    <definedName name="_ME22" localSheetId="8">'[11]An. Alat'!#REF!</definedName>
    <definedName name="_ME22" localSheetId="16">'[11]An. Alat'!#REF!</definedName>
    <definedName name="_ME22" localSheetId="9">'[11]An. Alat'!#REF!</definedName>
    <definedName name="_ME22">'[11]An. Alat'!#REF!</definedName>
    <definedName name="_ME23" localSheetId="7">'[11]An. Alat'!#REF!</definedName>
    <definedName name="_ME23" localSheetId="8">'[11]An. Alat'!#REF!</definedName>
    <definedName name="_ME23" localSheetId="16">'[11]An. Alat'!#REF!</definedName>
    <definedName name="_ME23" localSheetId="9">'[11]An. Alat'!#REF!</definedName>
    <definedName name="_ME23">'[11]An. Alat'!#REF!</definedName>
    <definedName name="_ME24" localSheetId="7">'[11]An. Alat'!#REF!</definedName>
    <definedName name="_ME24" localSheetId="8">'[11]An. Alat'!#REF!</definedName>
    <definedName name="_ME24" localSheetId="16">'[11]An. Alat'!#REF!</definedName>
    <definedName name="_ME24" localSheetId="9">'[11]An. Alat'!#REF!</definedName>
    <definedName name="_ME24">'[11]An. Alat'!#REF!</definedName>
    <definedName name="_ME25" localSheetId="7">'[11]An. Alat'!#REF!</definedName>
    <definedName name="_ME25" localSheetId="8">'[11]An. Alat'!#REF!</definedName>
    <definedName name="_ME25" localSheetId="16">'[11]An. Alat'!#REF!</definedName>
    <definedName name="_ME25" localSheetId="9">'[11]An. Alat'!#REF!</definedName>
    <definedName name="_ME25">'[11]An. Alat'!#REF!</definedName>
    <definedName name="_ME26" localSheetId="7">'[11]An. Alat'!#REF!</definedName>
    <definedName name="_ME26" localSheetId="8">'[11]An. Alat'!#REF!</definedName>
    <definedName name="_ME26" localSheetId="16">'[11]An. Alat'!#REF!</definedName>
    <definedName name="_ME26" localSheetId="9">'[11]An. Alat'!#REF!</definedName>
    <definedName name="_ME26">'[11]An. Alat'!#REF!</definedName>
    <definedName name="_ME27" localSheetId="7">'[11]An. Alat'!#REF!</definedName>
    <definedName name="_ME27" localSheetId="8">'[11]An. Alat'!#REF!</definedName>
    <definedName name="_ME27" localSheetId="16">'[11]An. Alat'!#REF!</definedName>
    <definedName name="_ME27" localSheetId="9">'[11]An. Alat'!#REF!</definedName>
    <definedName name="_ME27">'[11]An. Alat'!#REF!</definedName>
    <definedName name="_ME28" localSheetId="7">'[11]An. Alat'!#REF!</definedName>
    <definedName name="_ME28" localSheetId="8">'[11]An. Alat'!#REF!</definedName>
    <definedName name="_ME28" localSheetId="16">'[11]An. Alat'!#REF!</definedName>
    <definedName name="_ME28" localSheetId="9">'[11]An. Alat'!#REF!</definedName>
    <definedName name="_ME28">'[11]An. Alat'!#REF!</definedName>
    <definedName name="_ME29" localSheetId="7">'[11]An. Alat'!#REF!</definedName>
    <definedName name="_ME29" localSheetId="8">'[11]An. Alat'!#REF!</definedName>
    <definedName name="_ME29" localSheetId="16">'[11]An. Alat'!#REF!</definedName>
    <definedName name="_ME29" localSheetId="9">'[11]An. Alat'!#REF!</definedName>
    <definedName name="_ME29">'[11]An. Alat'!#REF!</definedName>
    <definedName name="_ME30" localSheetId="7">'[11]An. Alat'!#REF!</definedName>
    <definedName name="_ME30" localSheetId="8">'[11]An. Alat'!#REF!</definedName>
    <definedName name="_ME30" localSheetId="16">'[11]An. Alat'!#REF!</definedName>
    <definedName name="_ME30" localSheetId="9">'[11]An. Alat'!#REF!</definedName>
    <definedName name="_ME30">'[11]An. Alat'!#REF!</definedName>
    <definedName name="_ME31" localSheetId="7">'[11]An. Alat'!#REF!</definedName>
    <definedName name="_ME31" localSheetId="8">'[11]An. Alat'!#REF!</definedName>
    <definedName name="_ME31" localSheetId="16">'[11]An. Alat'!#REF!</definedName>
    <definedName name="_ME31" localSheetId="9">'[11]An. Alat'!#REF!</definedName>
    <definedName name="_ME31">'[11]An. Alat'!#REF!</definedName>
    <definedName name="_ME32" localSheetId="7">'[11]An. Alat'!#REF!</definedName>
    <definedName name="_ME32" localSheetId="8">'[11]An. Alat'!#REF!</definedName>
    <definedName name="_ME32" localSheetId="16">'[11]An. Alat'!#REF!</definedName>
    <definedName name="_ME32" localSheetId="9">'[11]An. Alat'!#REF!</definedName>
    <definedName name="_ME32">'[11]An. Alat'!#REF!</definedName>
    <definedName name="_ME33" localSheetId="7">'[11]An. Alat'!#REF!</definedName>
    <definedName name="_ME33" localSheetId="8">'[11]An. Alat'!#REF!</definedName>
    <definedName name="_ME33" localSheetId="16">'[11]An. Alat'!#REF!</definedName>
    <definedName name="_ME33" localSheetId="9">'[11]An. Alat'!#REF!</definedName>
    <definedName name="_ME33">'[11]An. Alat'!#REF!</definedName>
    <definedName name="_ME34" localSheetId="7">'[11]An. Alat'!#REF!</definedName>
    <definedName name="_ME34" localSheetId="8">'[11]An. Alat'!#REF!</definedName>
    <definedName name="_ME34" localSheetId="16">'[11]An. Alat'!#REF!</definedName>
    <definedName name="_ME34" localSheetId="9">'[11]An. Alat'!#REF!</definedName>
    <definedName name="_ME34">'[11]An. Alat'!#REF!</definedName>
    <definedName name="_ME35" localSheetId="1">#REF!</definedName>
    <definedName name="_ME35" localSheetId="7">#REF!</definedName>
    <definedName name="_ME35" localSheetId="8">#REF!</definedName>
    <definedName name="_ME35" localSheetId="16">#REF!</definedName>
    <definedName name="_ME35" localSheetId="9">#REF!</definedName>
    <definedName name="_ME35">#REF!</definedName>
    <definedName name="_ME36" localSheetId="7">#REF!</definedName>
    <definedName name="_ME36" localSheetId="8">#REF!</definedName>
    <definedName name="_ME36" localSheetId="16">#REF!</definedName>
    <definedName name="_ME36" localSheetId="9">#REF!</definedName>
    <definedName name="_ME36">#REF!</definedName>
    <definedName name="_ME37" localSheetId="7">#REF!</definedName>
    <definedName name="_ME37" localSheetId="8">#REF!</definedName>
    <definedName name="_ME37" localSheetId="16">#REF!</definedName>
    <definedName name="_ME37" localSheetId="9">#REF!</definedName>
    <definedName name="_ME37">#REF!</definedName>
    <definedName name="_ME38" localSheetId="7">#REF!</definedName>
    <definedName name="_ME38" localSheetId="8">#REF!</definedName>
    <definedName name="_ME38" localSheetId="16">#REF!</definedName>
    <definedName name="_ME38" localSheetId="9">#REF!</definedName>
    <definedName name="_ME38">#REF!</definedName>
    <definedName name="_ME39" localSheetId="7">#REF!</definedName>
    <definedName name="_ME39" localSheetId="8">#REF!</definedName>
    <definedName name="_ME39" localSheetId="16">#REF!</definedName>
    <definedName name="_ME39" localSheetId="9">#REF!</definedName>
    <definedName name="_ME39">#REF!</definedName>
    <definedName name="_ME40" localSheetId="7">#REF!</definedName>
    <definedName name="_ME40" localSheetId="8">#REF!</definedName>
    <definedName name="_ME40" localSheetId="16">#REF!</definedName>
    <definedName name="_ME40" localSheetId="9">#REF!</definedName>
    <definedName name="_ME40">#REF!</definedName>
    <definedName name="_ME41" localSheetId="7">#REF!</definedName>
    <definedName name="_ME41" localSheetId="8">#REF!</definedName>
    <definedName name="_ME41" localSheetId="16">#REF!</definedName>
    <definedName name="_ME41" localSheetId="9">#REF!</definedName>
    <definedName name="_ME41">#REF!</definedName>
    <definedName name="_ME42" localSheetId="7">#REF!</definedName>
    <definedName name="_ME42" localSheetId="8">#REF!</definedName>
    <definedName name="_ME42" localSheetId="16">#REF!</definedName>
    <definedName name="_ME42" localSheetId="9">#REF!</definedName>
    <definedName name="_ME42">#REF!</definedName>
    <definedName name="_ME43" localSheetId="7">#REF!</definedName>
    <definedName name="_ME43" localSheetId="8">#REF!</definedName>
    <definedName name="_ME43" localSheetId="16">#REF!</definedName>
    <definedName name="_ME43" localSheetId="9">#REF!</definedName>
    <definedName name="_ME43">#REF!</definedName>
    <definedName name="_ME44" localSheetId="7">#REF!</definedName>
    <definedName name="_ME44" localSheetId="8">#REF!</definedName>
    <definedName name="_ME44" localSheetId="16">#REF!</definedName>
    <definedName name="_ME44" localSheetId="9">#REF!</definedName>
    <definedName name="_ME44">#REF!</definedName>
    <definedName name="_ME45" localSheetId="7">#REF!</definedName>
    <definedName name="_ME45" localSheetId="8">#REF!</definedName>
    <definedName name="_ME45" localSheetId="16">#REF!</definedName>
    <definedName name="_ME45" localSheetId="9">#REF!</definedName>
    <definedName name="_ME45">#REF!</definedName>
    <definedName name="_ME46" localSheetId="7">#REF!</definedName>
    <definedName name="_ME46" localSheetId="8">#REF!</definedName>
    <definedName name="_ME46" localSheetId="16">#REF!</definedName>
    <definedName name="_ME46" localSheetId="9">#REF!</definedName>
    <definedName name="_ME46">#REF!</definedName>
    <definedName name="_ME47" localSheetId="7">#REF!</definedName>
    <definedName name="_ME47" localSheetId="8">#REF!</definedName>
    <definedName name="_ME47" localSheetId="16">#REF!</definedName>
    <definedName name="_ME47" localSheetId="9">#REF!</definedName>
    <definedName name="_ME47">#REF!</definedName>
    <definedName name="_ME48" localSheetId="7">#REF!</definedName>
    <definedName name="_ME48" localSheetId="8">#REF!</definedName>
    <definedName name="_ME48" localSheetId="16">#REF!</definedName>
    <definedName name="_ME48" localSheetId="9">#REF!</definedName>
    <definedName name="_ME48">#REF!</definedName>
    <definedName name="_ME49" localSheetId="7">#REF!</definedName>
    <definedName name="_ME49" localSheetId="8">#REF!</definedName>
    <definedName name="_ME49" localSheetId="16">#REF!</definedName>
    <definedName name="_ME49" localSheetId="9">#REF!</definedName>
    <definedName name="_ME49">#REF!</definedName>
    <definedName name="_ME50" localSheetId="7">#REF!</definedName>
    <definedName name="_ME50" localSheetId="8">#REF!</definedName>
    <definedName name="_ME50" localSheetId="16">#REF!</definedName>
    <definedName name="_ME50" localSheetId="9">#REF!</definedName>
    <definedName name="_ME50">#REF!</definedName>
    <definedName name="_ME51" localSheetId="7">#REF!</definedName>
    <definedName name="_ME51" localSheetId="8">#REF!</definedName>
    <definedName name="_ME51" localSheetId="16">#REF!</definedName>
    <definedName name="_ME51" localSheetId="9">#REF!</definedName>
    <definedName name="_ME51">#REF!</definedName>
    <definedName name="_ME52" localSheetId="7">#REF!</definedName>
    <definedName name="_ME52" localSheetId="8">#REF!</definedName>
    <definedName name="_ME52" localSheetId="16">#REF!</definedName>
    <definedName name="_ME52" localSheetId="9">#REF!</definedName>
    <definedName name="_ME52">#REF!</definedName>
    <definedName name="_ME53" localSheetId="7">#REF!</definedName>
    <definedName name="_ME53" localSheetId="8">#REF!</definedName>
    <definedName name="_ME53" localSheetId="16">#REF!</definedName>
    <definedName name="_ME53" localSheetId="9">#REF!</definedName>
    <definedName name="_ME53">#REF!</definedName>
    <definedName name="_ME54" localSheetId="7">#REF!</definedName>
    <definedName name="_ME54" localSheetId="8">#REF!</definedName>
    <definedName name="_ME54" localSheetId="16">#REF!</definedName>
    <definedName name="_ME54" localSheetId="9">#REF!</definedName>
    <definedName name="_ME54">#REF!</definedName>
    <definedName name="_ME55" localSheetId="7">#REF!</definedName>
    <definedName name="_ME55" localSheetId="8">#REF!</definedName>
    <definedName name="_ME55" localSheetId="16">#REF!</definedName>
    <definedName name="_ME55" localSheetId="9">#REF!</definedName>
    <definedName name="_ME55">#REF!</definedName>
    <definedName name="_ME56" localSheetId="7">#REF!</definedName>
    <definedName name="_ME56" localSheetId="8">#REF!</definedName>
    <definedName name="_ME56" localSheetId="16">#REF!</definedName>
    <definedName name="_ME56" localSheetId="9">#REF!</definedName>
    <definedName name="_ME56">#REF!</definedName>
    <definedName name="_ME57" localSheetId="7">#REF!</definedName>
    <definedName name="_ME57" localSheetId="8">#REF!</definedName>
    <definedName name="_ME57" localSheetId="16">#REF!</definedName>
    <definedName name="_ME57" localSheetId="9">#REF!</definedName>
    <definedName name="_ME57">#REF!</definedName>
    <definedName name="_ME58" localSheetId="7">#REF!</definedName>
    <definedName name="_ME58" localSheetId="8">#REF!</definedName>
    <definedName name="_ME58" localSheetId="16">#REF!</definedName>
    <definedName name="_ME58" localSheetId="9">#REF!</definedName>
    <definedName name="_ME58">#REF!</definedName>
    <definedName name="_ME59" localSheetId="7">#REF!</definedName>
    <definedName name="_ME59" localSheetId="8">#REF!</definedName>
    <definedName name="_ME59" localSheetId="16">#REF!</definedName>
    <definedName name="_ME59" localSheetId="9">#REF!</definedName>
    <definedName name="_ME59">#REF!</definedName>
    <definedName name="_ME60" localSheetId="7">#REF!</definedName>
    <definedName name="_ME60" localSheetId="8">#REF!</definedName>
    <definedName name="_ME60" localSheetId="16">#REF!</definedName>
    <definedName name="_ME60" localSheetId="9">#REF!</definedName>
    <definedName name="_ME60">#REF!</definedName>
    <definedName name="_ME61" localSheetId="7">#REF!</definedName>
    <definedName name="_ME61" localSheetId="8">#REF!</definedName>
    <definedName name="_ME61" localSheetId="16">#REF!</definedName>
    <definedName name="_ME61" localSheetId="9">#REF!</definedName>
    <definedName name="_ME61">#REF!</definedName>
    <definedName name="_ME62" localSheetId="7">#REF!</definedName>
    <definedName name="_ME62" localSheetId="8">#REF!</definedName>
    <definedName name="_ME62" localSheetId="16">#REF!</definedName>
    <definedName name="_ME62" localSheetId="9">#REF!</definedName>
    <definedName name="_ME62">#REF!</definedName>
    <definedName name="_ME63" localSheetId="7">#REF!</definedName>
    <definedName name="_ME63" localSheetId="8">#REF!</definedName>
    <definedName name="_ME63" localSheetId="16">#REF!</definedName>
    <definedName name="_ME63" localSheetId="9">#REF!</definedName>
    <definedName name="_ME63">#REF!</definedName>
    <definedName name="_ME64" localSheetId="7">#REF!</definedName>
    <definedName name="_ME64" localSheetId="8">#REF!</definedName>
    <definedName name="_ME64" localSheetId="16">#REF!</definedName>
    <definedName name="_ME64" localSheetId="9">#REF!</definedName>
    <definedName name="_ME64">#REF!</definedName>
    <definedName name="_ME65" localSheetId="7">#REF!</definedName>
    <definedName name="_ME65" localSheetId="8">#REF!</definedName>
    <definedName name="_ME65" localSheetId="16">#REF!</definedName>
    <definedName name="_ME65" localSheetId="9">#REF!</definedName>
    <definedName name="_ME65">#REF!</definedName>
    <definedName name="_ME66" localSheetId="7">#REF!</definedName>
    <definedName name="_ME66" localSheetId="8">#REF!</definedName>
    <definedName name="_ME66" localSheetId="16">#REF!</definedName>
    <definedName name="_ME66" localSheetId="9">#REF!</definedName>
    <definedName name="_ME66">#REF!</definedName>
    <definedName name="_ME67" localSheetId="7">#REF!</definedName>
    <definedName name="_ME67" localSheetId="8">#REF!</definedName>
    <definedName name="_ME67" localSheetId="16">#REF!</definedName>
    <definedName name="_ME67" localSheetId="9">#REF!</definedName>
    <definedName name="_ME67">#REF!</definedName>
    <definedName name="_ME68" localSheetId="7">#REF!</definedName>
    <definedName name="_ME68" localSheetId="8">#REF!</definedName>
    <definedName name="_ME68" localSheetId="16">#REF!</definedName>
    <definedName name="_ME68" localSheetId="9">#REF!</definedName>
    <definedName name="_ME68">#REF!</definedName>
    <definedName name="_mg3" localSheetId="7" hidden="1">#REF!</definedName>
    <definedName name="_mg3" localSheetId="8" hidden="1">#REF!</definedName>
    <definedName name="_mg3" localSheetId="16" hidden="1">#REF!</definedName>
    <definedName name="_mg3" localSheetId="9" hidden="1">#REF!</definedName>
    <definedName name="_mg3" hidden="1">#REF!</definedName>
    <definedName name="_MMM01" localSheetId="7">'[7]Basic Price'!#REF!</definedName>
    <definedName name="_MMM01" localSheetId="8">'[7]Basic Price'!#REF!</definedName>
    <definedName name="_MMM01" localSheetId="16">'[7]Basic Price'!#REF!</definedName>
    <definedName name="_MMM01" localSheetId="9">'[7]Basic Price'!#REF!</definedName>
    <definedName name="_MMM01">'[7]Basic Price'!#REF!</definedName>
    <definedName name="_MMM02" localSheetId="7">'[7]Basic Price'!#REF!</definedName>
    <definedName name="_MMM02" localSheetId="8">'[7]Basic Price'!#REF!</definedName>
    <definedName name="_MMM02" localSheetId="16">'[7]Basic Price'!#REF!</definedName>
    <definedName name="_MMM02" localSheetId="9">'[7]Basic Price'!#REF!</definedName>
    <definedName name="_MMM02">'[7]Basic Price'!#REF!</definedName>
    <definedName name="_MMM03">'[7]Basic Price'!$F$20</definedName>
    <definedName name="_MMM04">'[7]Basic Price'!$F$22</definedName>
    <definedName name="_MMM05">'[7]Basic Price'!$F$24</definedName>
    <definedName name="_MMM06" localSheetId="4">'[7]Basic Price'!#REF!</definedName>
    <definedName name="_MMM06" localSheetId="1">'[7]Basic Price'!#REF!</definedName>
    <definedName name="_MMM06" localSheetId="7">'[7]Basic Price'!#REF!</definedName>
    <definedName name="_MMM06" localSheetId="8">'[7]Basic Price'!#REF!</definedName>
    <definedName name="_MMM06" localSheetId="16">'[7]Basic Price'!#REF!</definedName>
    <definedName name="_MMM06" localSheetId="9">'[7]Basic Price'!#REF!</definedName>
    <definedName name="_MMM06">'[7]Basic Price'!#REF!</definedName>
    <definedName name="_MMM07" localSheetId="1">'[7]Basic Price'!#REF!</definedName>
    <definedName name="_MMM07" localSheetId="7">'[7]Basic Price'!#REF!</definedName>
    <definedName name="_MMM07" localSheetId="8">'[7]Basic Price'!#REF!</definedName>
    <definedName name="_MMM07" localSheetId="16">'[7]Basic Price'!#REF!</definedName>
    <definedName name="_MMM07" localSheetId="9">'[7]Basic Price'!#REF!</definedName>
    <definedName name="_MMM07">'[7]Basic Price'!#REF!</definedName>
    <definedName name="_MMM08" localSheetId="7">'[7]Basic Price'!#REF!</definedName>
    <definedName name="_MMM08" localSheetId="8">'[7]Basic Price'!#REF!</definedName>
    <definedName name="_MMM08" localSheetId="16">'[7]Basic Price'!#REF!</definedName>
    <definedName name="_MMM08" localSheetId="9">'[7]Basic Price'!#REF!</definedName>
    <definedName name="_MMM08">'[7]Basic Price'!#REF!</definedName>
    <definedName name="_MMM09" localSheetId="7">'[7]Basic Price'!#REF!</definedName>
    <definedName name="_MMM09" localSheetId="8">'[7]Basic Price'!#REF!</definedName>
    <definedName name="_MMM09" localSheetId="16">'[7]Basic Price'!#REF!</definedName>
    <definedName name="_MMM09" localSheetId="9">'[7]Basic Price'!#REF!</definedName>
    <definedName name="_MMM09">'[7]Basic Price'!#REF!</definedName>
    <definedName name="_MMM10">'[7]Basic Price'!$F$26</definedName>
    <definedName name="_MMM11">'[7]Basic Price'!$F$28</definedName>
    <definedName name="_MMM12" localSheetId="4">'[7]Basic Price'!#REF!</definedName>
    <definedName name="_MMM12" localSheetId="1">'[7]Basic Price'!#REF!</definedName>
    <definedName name="_MMM12" localSheetId="7">'[7]Basic Price'!#REF!</definedName>
    <definedName name="_MMM12" localSheetId="8">'[7]Basic Price'!#REF!</definedName>
    <definedName name="_MMM12" localSheetId="16">'[7]Basic Price'!#REF!</definedName>
    <definedName name="_MMM12" localSheetId="9">'[7]Basic Price'!#REF!</definedName>
    <definedName name="_MMM12">'[7]Basic Price'!#REF!</definedName>
    <definedName name="_MMM13" localSheetId="1">'[7]Basic Price'!#REF!</definedName>
    <definedName name="_MMM13" localSheetId="7">'[7]Basic Price'!#REF!</definedName>
    <definedName name="_MMM13" localSheetId="8">'[7]Basic Price'!#REF!</definedName>
    <definedName name="_MMM13" localSheetId="16">'[7]Basic Price'!#REF!</definedName>
    <definedName name="_MMM13" localSheetId="9">'[7]Basic Price'!#REF!</definedName>
    <definedName name="_MMM13">'[7]Basic Price'!#REF!</definedName>
    <definedName name="_MMM14" localSheetId="7">'[7]Basic Price'!#REF!</definedName>
    <definedName name="_MMM14" localSheetId="8">'[7]Basic Price'!#REF!</definedName>
    <definedName name="_MMM14" localSheetId="16">'[7]Basic Price'!#REF!</definedName>
    <definedName name="_MMM14" localSheetId="9">'[7]Basic Price'!#REF!</definedName>
    <definedName name="_MMM14">'[7]Basic Price'!#REF!</definedName>
    <definedName name="_MMM15" localSheetId="7">'[7]Basic Price'!#REF!</definedName>
    <definedName name="_MMM15" localSheetId="8">'[7]Basic Price'!#REF!</definedName>
    <definedName name="_MMM15" localSheetId="16">'[7]Basic Price'!#REF!</definedName>
    <definedName name="_MMM15" localSheetId="9">'[7]Basic Price'!#REF!</definedName>
    <definedName name="_MMM15">'[7]Basic Price'!#REF!</definedName>
    <definedName name="_MMM16">'[7]Basic Price'!$F$30</definedName>
    <definedName name="_MMM17" localSheetId="4">'[7]Basic Price'!#REF!</definedName>
    <definedName name="_MMM17" localSheetId="1">'[7]Basic Price'!#REF!</definedName>
    <definedName name="_MMM17" localSheetId="7">'[7]Basic Price'!#REF!</definedName>
    <definedName name="_MMM17" localSheetId="8">'[7]Basic Price'!#REF!</definedName>
    <definedName name="_MMM17" localSheetId="16">'[7]Basic Price'!#REF!</definedName>
    <definedName name="_MMM17" localSheetId="9">'[7]Basic Price'!#REF!</definedName>
    <definedName name="_MMM17">'[7]Basic Price'!#REF!</definedName>
    <definedName name="_MMM18" localSheetId="1">'[7]Basic Price'!#REF!</definedName>
    <definedName name="_MMM18" localSheetId="7">'[7]Basic Price'!#REF!</definedName>
    <definedName name="_MMM18" localSheetId="8">'[7]Basic Price'!#REF!</definedName>
    <definedName name="_MMM18" localSheetId="16">'[7]Basic Price'!#REF!</definedName>
    <definedName name="_MMM18" localSheetId="9">'[7]Basic Price'!#REF!</definedName>
    <definedName name="_MMM18">'[7]Basic Price'!#REF!</definedName>
    <definedName name="_MMM19" localSheetId="7">'[7]Basic Price'!#REF!</definedName>
    <definedName name="_MMM19" localSheetId="8">'[7]Basic Price'!#REF!</definedName>
    <definedName name="_MMM19" localSheetId="16">'[7]Basic Price'!#REF!</definedName>
    <definedName name="_MMM19" localSheetId="9">'[7]Basic Price'!#REF!</definedName>
    <definedName name="_MMM19">'[7]Basic Price'!#REF!</definedName>
    <definedName name="_MMM20" localSheetId="7">'[7]Basic Price'!#REF!</definedName>
    <definedName name="_MMM20" localSheetId="8">'[7]Basic Price'!#REF!</definedName>
    <definedName name="_MMM20" localSheetId="16">'[7]Basic Price'!#REF!</definedName>
    <definedName name="_MMM20" localSheetId="9">'[7]Basic Price'!#REF!</definedName>
    <definedName name="_MMM20">'[7]Basic Price'!#REF!</definedName>
    <definedName name="_MMM21" localSheetId="7">'[7]Basic Price'!#REF!</definedName>
    <definedName name="_MMM21" localSheetId="8">'[7]Basic Price'!#REF!</definedName>
    <definedName name="_MMM21" localSheetId="16">'[7]Basic Price'!#REF!</definedName>
    <definedName name="_MMM21" localSheetId="9">'[7]Basic Price'!#REF!</definedName>
    <definedName name="_MMM21">'[7]Basic Price'!#REF!</definedName>
    <definedName name="_MMM22" localSheetId="7">'[7]Basic Price'!#REF!</definedName>
    <definedName name="_MMM22" localSheetId="8">'[7]Basic Price'!#REF!</definedName>
    <definedName name="_MMM22" localSheetId="16">'[7]Basic Price'!#REF!</definedName>
    <definedName name="_MMM22" localSheetId="9">'[7]Basic Price'!#REF!</definedName>
    <definedName name="_MMM22">'[7]Basic Price'!#REF!</definedName>
    <definedName name="_MMM23" localSheetId="7">'[7]Basic Price'!#REF!</definedName>
    <definedName name="_MMM23" localSheetId="8">'[7]Basic Price'!#REF!</definedName>
    <definedName name="_MMM23" localSheetId="16">'[7]Basic Price'!#REF!</definedName>
    <definedName name="_MMM23" localSheetId="9">'[7]Basic Price'!#REF!</definedName>
    <definedName name="_MMM23">'[7]Basic Price'!#REF!</definedName>
    <definedName name="_MMM24" localSheetId="7">'[7]Basic Price'!#REF!</definedName>
    <definedName name="_MMM24" localSheetId="8">'[7]Basic Price'!#REF!</definedName>
    <definedName name="_MMM24" localSheetId="16">'[7]Basic Price'!#REF!</definedName>
    <definedName name="_MMM24" localSheetId="9">'[7]Basic Price'!#REF!</definedName>
    <definedName name="_MMM24">'[7]Basic Price'!#REF!</definedName>
    <definedName name="_MMM25" localSheetId="7">'[7]Basic Price'!#REF!</definedName>
    <definedName name="_MMM25" localSheetId="8">'[7]Basic Price'!#REF!</definedName>
    <definedName name="_MMM25" localSheetId="16">'[7]Basic Price'!#REF!</definedName>
    <definedName name="_MMM25" localSheetId="9">'[7]Basic Price'!#REF!</definedName>
    <definedName name="_MMM25">'[7]Basic Price'!#REF!</definedName>
    <definedName name="_MMM26" localSheetId="7">'[7]Basic Price'!#REF!</definedName>
    <definedName name="_MMM26" localSheetId="8">'[7]Basic Price'!#REF!</definedName>
    <definedName name="_MMM26" localSheetId="16">'[7]Basic Price'!#REF!</definedName>
    <definedName name="_MMM26" localSheetId="9">'[7]Basic Price'!#REF!</definedName>
    <definedName name="_MMM26">'[7]Basic Price'!#REF!</definedName>
    <definedName name="_MMM27" localSheetId="7">'[7]Basic Price'!#REF!</definedName>
    <definedName name="_MMM27" localSheetId="8">'[7]Basic Price'!#REF!</definedName>
    <definedName name="_MMM27" localSheetId="16">'[7]Basic Price'!#REF!</definedName>
    <definedName name="_MMM27" localSheetId="9">'[7]Basic Price'!#REF!</definedName>
    <definedName name="_MMM27">'[7]Basic Price'!#REF!</definedName>
    <definedName name="_MMM28" localSheetId="7">'[7]Basic Price'!#REF!</definedName>
    <definedName name="_MMM28" localSheetId="8">'[7]Basic Price'!#REF!</definedName>
    <definedName name="_MMM28" localSheetId="16">'[7]Basic Price'!#REF!</definedName>
    <definedName name="_MMM28" localSheetId="9">'[7]Basic Price'!#REF!</definedName>
    <definedName name="_MMM28">'[7]Basic Price'!#REF!</definedName>
    <definedName name="_MMM29" localSheetId="7">'[7]Basic Price'!#REF!</definedName>
    <definedName name="_MMM29" localSheetId="8">'[7]Basic Price'!#REF!</definedName>
    <definedName name="_MMM29" localSheetId="16">'[7]Basic Price'!#REF!</definedName>
    <definedName name="_MMM29" localSheetId="9">'[7]Basic Price'!#REF!</definedName>
    <definedName name="_MMM29">'[7]Basic Price'!#REF!</definedName>
    <definedName name="_MMM30" localSheetId="7">'[7]Basic Price'!#REF!</definedName>
    <definedName name="_MMM30" localSheetId="8">'[7]Basic Price'!#REF!</definedName>
    <definedName name="_MMM30" localSheetId="16">'[7]Basic Price'!#REF!</definedName>
    <definedName name="_MMM30" localSheetId="9">'[7]Basic Price'!#REF!</definedName>
    <definedName name="_MMM30">'[7]Basic Price'!#REF!</definedName>
    <definedName name="_MMM31" localSheetId="7">'[7]Basic Price'!#REF!</definedName>
    <definedName name="_MMM31" localSheetId="8">'[7]Basic Price'!#REF!</definedName>
    <definedName name="_MMM31" localSheetId="16">'[7]Basic Price'!#REF!</definedName>
    <definedName name="_MMM31" localSheetId="9">'[7]Basic Price'!#REF!</definedName>
    <definedName name="_MMM31">'[7]Basic Price'!#REF!</definedName>
    <definedName name="_MMM32" localSheetId="7">'[7]Basic Price'!#REF!</definedName>
    <definedName name="_MMM32" localSheetId="8">'[7]Basic Price'!#REF!</definedName>
    <definedName name="_MMM32" localSheetId="16">'[7]Basic Price'!#REF!</definedName>
    <definedName name="_MMM32" localSheetId="9">'[7]Basic Price'!#REF!</definedName>
    <definedName name="_MMM32">'[7]Basic Price'!#REF!</definedName>
    <definedName name="_MMM33" localSheetId="7">'[7]Basic Price'!#REF!</definedName>
    <definedName name="_MMM33" localSheetId="8">'[7]Basic Price'!#REF!</definedName>
    <definedName name="_MMM33" localSheetId="16">'[7]Basic Price'!#REF!</definedName>
    <definedName name="_MMM33" localSheetId="9">'[7]Basic Price'!#REF!</definedName>
    <definedName name="_MMM33">'[7]Basic Price'!#REF!</definedName>
    <definedName name="_MMM34" localSheetId="7">'[7]Basic Price'!#REF!</definedName>
    <definedName name="_MMM34" localSheetId="8">'[7]Basic Price'!#REF!</definedName>
    <definedName name="_MMM34" localSheetId="16">'[7]Basic Price'!#REF!</definedName>
    <definedName name="_MMM34" localSheetId="9">'[7]Basic Price'!#REF!</definedName>
    <definedName name="_MMM34">'[7]Basic Price'!#REF!</definedName>
    <definedName name="_MMM35" localSheetId="7">'[7]Basic Price'!#REF!</definedName>
    <definedName name="_MMM35" localSheetId="8">'[7]Basic Price'!#REF!</definedName>
    <definedName name="_MMM35" localSheetId="16">'[7]Basic Price'!#REF!</definedName>
    <definedName name="_MMM35" localSheetId="9">'[7]Basic Price'!#REF!</definedName>
    <definedName name="_MMM35">'[7]Basic Price'!#REF!</definedName>
    <definedName name="_MMM36" localSheetId="7">'[7]Basic Price'!#REF!</definedName>
    <definedName name="_MMM36" localSheetId="8">'[7]Basic Price'!#REF!</definedName>
    <definedName name="_MMM36" localSheetId="16">'[7]Basic Price'!#REF!</definedName>
    <definedName name="_MMM36" localSheetId="9">'[7]Basic Price'!#REF!</definedName>
    <definedName name="_MMM36">'[7]Basic Price'!#REF!</definedName>
    <definedName name="_MMM37" localSheetId="7">'[7]Basic Price'!#REF!</definedName>
    <definedName name="_MMM37" localSheetId="8">'[7]Basic Price'!#REF!</definedName>
    <definedName name="_MMM37" localSheetId="16">'[7]Basic Price'!#REF!</definedName>
    <definedName name="_MMM37" localSheetId="9">'[7]Basic Price'!#REF!</definedName>
    <definedName name="_MMM37">'[7]Basic Price'!#REF!</definedName>
    <definedName name="_MMM38" localSheetId="7">'[7]Basic Price'!#REF!</definedName>
    <definedName name="_MMM38" localSheetId="8">'[7]Basic Price'!#REF!</definedName>
    <definedName name="_MMM38" localSheetId="16">'[7]Basic Price'!#REF!</definedName>
    <definedName name="_MMM38" localSheetId="9">'[7]Basic Price'!#REF!</definedName>
    <definedName name="_MMM38">'[7]Basic Price'!#REF!</definedName>
    <definedName name="_MMM39" localSheetId="7">'[7]Basic Price'!#REF!</definedName>
    <definedName name="_MMM39" localSheetId="8">'[7]Basic Price'!#REF!</definedName>
    <definedName name="_MMM39" localSheetId="16">'[7]Basic Price'!#REF!</definedName>
    <definedName name="_MMM39" localSheetId="9">'[7]Basic Price'!#REF!</definedName>
    <definedName name="_MMM39">'[7]Basic Price'!#REF!</definedName>
    <definedName name="_MMM40" localSheetId="7">'[7]Basic Price'!#REF!</definedName>
    <definedName name="_MMM40" localSheetId="8">'[7]Basic Price'!#REF!</definedName>
    <definedName name="_MMM40" localSheetId="16">'[7]Basic Price'!#REF!</definedName>
    <definedName name="_MMM40" localSheetId="9">'[7]Basic Price'!#REF!</definedName>
    <definedName name="_MMM40">'[7]Basic Price'!#REF!</definedName>
    <definedName name="_MMM41" localSheetId="7">'[7]Basic Price'!#REF!</definedName>
    <definedName name="_MMM41" localSheetId="8">'[7]Basic Price'!#REF!</definedName>
    <definedName name="_MMM41" localSheetId="16">'[7]Basic Price'!#REF!</definedName>
    <definedName name="_MMM41" localSheetId="9">'[7]Basic Price'!#REF!</definedName>
    <definedName name="_MMM41">'[7]Basic Price'!#REF!</definedName>
    <definedName name="_MMM411" localSheetId="7">'[7]Basic Price'!#REF!</definedName>
    <definedName name="_MMM411" localSheetId="8">'[7]Basic Price'!#REF!</definedName>
    <definedName name="_MMM411" localSheetId="16">'[7]Basic Price'!#REF!</definedName>
    <definedName name="_MMM411" localSheetId="9">'[7]Basic Price'!#REF!</definedName>
    <definedName name="_MMM411">'[7]Basic Price'!#REF!</definedName>
    <definedName name="_MMM42" localSheetId="7">'[7]Basic Price'!#REF!</definedName>
    <definedName name="_MMM42" localSheetId="8">'[7]Basic Price'!#REF!</definedName>
    <definedName name="_MMM42" localSheetId="16">'[7]Basic Price'!#REF!</definedName>
    <definedName name="_MMM42" localSheetId="9">'[7]Basic Price'!#REF!</definedName>
    <definedName name="_MMM42">'[7]Basic Price'!#REF!</definedName>
    <definedName name="_MMM43" localSheetId="7">'[7]Basic Price'!#REF!</definedName>
    <definedName name="_MMM43" localSheetId="8">'[7]Basic Price'!#REF!</definedName>
    <definedName name="_MMM43" localSheetId="16">'[7]Basic Price'!#REF!</definedName>
    <definedName name="_MMM43" localSheetId="9">'[7]Basic Price'!#REF!</definedName>
    <definedName name="_MMM43">'[7]Basic Price'!#REF!</definedName>
    <definedName name="_MMM44" localSheetId="7">'[7]Basic Price'!#REF!</definedName>
    <definedName name="_MMM44" localSheetId="8">'[7]Basic Price'!#REF!</definedName>
    <definedName name="_MMM44" localSheetId="16">'[7]Basic Price'!#REF!</definedName>
    <definedName name="_MMM44" localSheetId="9">'[7]Basic Price'!#REF!</definedName>
    <definedName name="_MMM44">'[7]Basic Price'!#REF!</definedName>
    <definedName name="_MMM45" localSheetId="7">'[7]Basic Price'!#REF!</definedName>
    <definedName name="_MMM45" localSheetId="8">'[7]Basic Price'!#REF!</definedName>
    <definedName name="_MMM45" localSheetId="16">'[7]Basic Price'!#REF!</definedName>
    <definedName name="_MMM45" localSheetId="9">'[7]Basic Price'!#REF!</definedName>
    <definedName name="_MMM45">'[7]Basic Price'!#REF!</definedName>
    <definedName name="_MMM46" localSheetId="7">'[7]Basic Price'!#REF!</definedName>
    <definedName name="_MMM46" localSheetId="8">'[7]Basic Price'!#REF!</definedName>
    <definedName name="_MMM46" localSheetId="16">'[7]Basic Price'!#REF!</definedName>
    <definedName name="_MMM46" localSheetId="9">'[7]Basic Price'!#REF!</definedName>
    <definedName name="_MMM46">'[7]Basic Price'!#REF!</definedName>
    <definedName name="_MMM47" localSheetId="7">'[7]Basic Price'!#REF!</definedName>
    <definedName name="_MMM47" localSheetId="8">'[7]Basic Price'!#REF!</definedName>
    <definedName name="_MMM47" localSheetId="16">'[7]Basic Price'!#REF!</definedName>
    <definedName name="_MMM47" localSheetId="9">'[7]Basic Price'!#REF!</definedName>
    <definedName name="_MMM47">'[7]Basic Price'!#REF!</definedName>
    <definedName name="_MMM48" localSheetId="7">'[7]Basic Price'!#REF!</definedName>
    <definedName name="_MMM48" localSheetId="8">'[7]Basic Price'!#REF!</definedName>
    <definedName name="_MMM48" localSheetId="16">'[7]Basic Price'!#REF!</definedName>
    <definedName name="_MMM48" localSheetId="9">'[7]Basic Price'!#REF!</definedName>
    <definedName name="_MMM48">'[7]Basic Price'!#REF!</definedName>
    <definedName name="_MMM49" localSheetId="7">'[7]Basic Price'!#REF!</definedName>
    <definedName name="_MMM49" localSheetId="8">'[7]Basic Price'!#REF!</definedName>
    <definedName name="_MMM49" localSheetId="16">'[7]Basic Price'!#REF!</definedName>
    <definedName name="_MMM49" localSheetId="9">'[7]Basic Price'!#REF!</definedName>
    <definedName name="_MMM49">'[7]Basic Price'!#REF!</definedName>
    <definedName name="_MMM50" localSheetId="7">'[7]Basic Price'!#REF!</definedName>
    <definedName name="_MMM50" localSheetId="8">'[7]Basic Price'!#REF!</definedName>
    <definedName name="_MMM50" localSheetId="16">'[7]Basic Price'!#REF!</definedName>
    <definedName name="_MMM50" localSheetId="9">'[7]Basic Price'!#REF!</definedName>
    <definedName name="_MMM50">'[7]Basic Price'!#REF!</definedName>
    <definedName name="_MMM51" localSheetId="7">'[7]Basic Price'!#REF!</definedName>
    <definedName name="_MMM51" localSheetId="8">'[7]Basic Price'!#REF!</definedName>
    <definedName name="_MMM51" localSheetId="16">'[7]Basic Price'!#REF!</definedName>
    <definedName name="_MMM51" localSheetId="9">'[7]Basic Price'!#REF!</definedName>
    <definedName name="_MMM51">'[7]Basic Price'!#REF!</definedName>
    <definedName name="_MMM52" localSheetId="7">'[7]Basic Price'!#REF!</definedName>
    <definedName name="_MMM52" localSheetId="8">'[7]Basic Price'!#REF!</definedName>
    <definedName name="_MMM52" localSheetId="16">'[7]Basic Price'!#REF!</definedName>
    <definedName name="_MMM52" localSheetId="9">'[7]Basic Price'!#REF!</definedName>
    <definedName name="_MMM52">'[7]Basic Price'!#REF!</definedName>
    <definedName name="_MMM53" localSheetId="7">'[7]Basic Price'!#REF!</definedName>
    <definedName name="_MMM53" localSheetId="8">'[7]Basic Price'!#REF!</definedName>
    <definedName name="_MMM53" localSheetId="16">'[7]Basic Price'!#REF!</definedName>
    <definedName name="_MMM53" localSheetId="9">'[7]Basic Price'!#REF!</definedName>
    <definedName name="_MMM53">'[7]Basic Price'!#REF!</definedName>
    <definedName name="_MMM54" localSheetId="7">'[7]Basic Price'!#REF!</definedName>
    <definedName name="_MMM54" localSheetId="8">'[7]Basic Price'!#REF!</definedName>
    <definedName name="_MMM54" localSheetId="16">'[7]Basic Price'!#REF!</definedName>
    <definedName name="_MMM54" localSheetId="9">'[7]Basic Price'!#REF!</definedName>
    <definedName name="_MMM54">'[7]Basic Price'!#REF!</definedName>
    <definedName name="_NO1" localSheetId="1">'[14]1ST'!$A$14:$A$503</definedName>
    <definedName name="_NO1">'[15]1ST'!$A$14:$A$503</definedName>
    <definedName name="_NO2" localSheetId="1">'[14]2RD'!$A$13:$A$504</definedName>
    <definedName name="_NO2">'[15]2RD'!$A$13:$A$504</definedName>
    <definedName name="_NO4" localSheetId="1">'[14]4TH'!$A$13:$A$504</definedName>
    <definedName name="_NO4">'[15]4TH'!$A$13:$A$504</definedName>
    <definedName name="_NO5" localSheetId="1">'[14]5TH'!$A$13:$A$504</definedName>
    <definedName name="_NO5">'[15]5TH'!$A$13:$A$504</definedName>
    <definedName name="_Order1" hidden="1">255</definedName>
    <definedName name="_Order2" hidden="1">255</definedName>
    <definedName name="_Parse_Out" localSheetId="1" hidden="1">#REF!</definedName>
    <definedName name="_Parse_Out" localSheetId="7" hidden="1">#REF!</definedName>
    <definedName name="_Parse_Out" localSheetId="8" hidden="1">#REF!</definedName>
    <definedName name="_Parse_Out" localSheetId="16" hidden="1">#REF!</definedName>
    <definedName name="_Parse_Out" localSheetId="9" hidden="1">#REF!</definedName>
    <definedName name="_Parse_Out" hidden="1">#REF!</definedName>
    <definedName name="_Pvc3" localSheetId="1">[6]UPAH!#REF!</definedName>
    <definedName name="_Pvc3" localSheetId="7">[6]UPAH!#REF!</definedName>
    <definedName name="_Pvc3" localSheetId="8">[6]UPAH!#REF!</definedName>
    <definedName name="_Pvc3" localSheetId="16">[6]UPAH!#REF!</definedName>
    <definedName name="_Pvc3" localSheetId="9">[6]UPAH!#REF!</definedName>
    <definedName name="_Pvc3">[6]UPAH!#REF!</definedName>
    <definedName name="_Pvc4" localSheetId="1">[6]UPAH!#REF!</definedName>
    <definedName name="_Pvc4" localSheetId="7">[6]UPAH!#REF!</definedName>
    <definedName name="_Pvc4" localSheetId="8">[6]UPAH!#REF!</definedName>
    <definedName name="_Pvc4" localSheetId="16">[6]UPAH!#REF!</definedName>
    <definedName name="_Pvc4" localSheetId="9">[6]UPAH!#REF!</definedName>
    <definedName name="_Pvc4">[6]UPAH!#REF!</definedName>
    <definedName name="_Regression_X" localSheetId="1" hidden="1">#REF!</definedName>
    <definedName name="_Regression_X" localSheetId="7" hidden="1">#REF!</definedName>
    <definedName name="_Regression_X" localSheetId="8" hidden="1">#REF!</definedName>
    <definedName name="_Regression_X" localSheetId="16" hidden="1">#REF!</definedName>
    <definedName name="_Regression_X" localSheetId="9" hidden="1">#REF!</definedName>
    <definedName name="_Regression_X" hidden="1">#REF!</definedName>
    <definedName name="_rek1">[16]REKAP!$I$30</definedName>
    <definedName name="_Sort" hidden="1">[13]Schdule!$Z$16:$Z$112</definedName>
    <definedName name="_Table1_In1" localSheetId="1" hidden="1">#REF!</definedName>
    <definedName name="_Table1_In1" localSheetId="7" hidden="1">#REF!</definedName>
    <definedName name="_Table1_In1" localSheetId="8" hidden="1">#REF!</definedName>
    <definedName name="_Table1_In1" localSheetId="16" hidden="1">#REF!</definedName>
    <definedName name="_Table1_In1" localSheetId="9" hidden="1">#REF!</definedName>
    <definedName name="_Table1_In1" hidden="1">#REF!</definedName>
    <definedName name="_VS2" localSheetId="1">#REF!</definedName>
    <definedName name="_VS2" localSheetId="7">#REF!</definedName>
    <definedName name="_VS2" localSheetId="8">#REF!</definedName>
    <definedName name="_VS2" localSheetId="16">#REF!</definedName>
    <definedName name="_VS2" localSheetId="0">#REF!</definedName>
    <definedName name="_VS2" localSheetId="9">#REF!</definedName>
    <definedName name="_VS2">#REF!</definedName>
    <definedName name="a" localSheetId="7">#REF!</definedName>
    <definedName name="a" localSheetId="8">#REF!</definedName>
    <definedName name="a" localSheetId="16">#REF!</definedName>
    <definedName name="a" localSheetId="0">#REF!</definedName>
    <definedName name="a" localSheetId="9">#REF!</definedName>
    <definedName name="a">#REF!</definedName>
    <definedName name="A.1" localSheetId="7">#REF!</definedName>
    <definedName name="A.1" localSheetId="8">#REF!</definedName>
    <definedName name="A.1" localSheetId="16">#REF!</definedName>
    <definedName name="A.1" localSheetId="0">#REF!</definedName>
    <definedName name="A.1" localSheetId="9">#REF!</definedName>
    <definedName name="A.1">#REF!</definedName>
    <definedName name="A.10" localSheetId="7">#REF!</definedName>
    <definedName name="A.10" localSheetId="8">#REF!</definedName>
    <definedName name="A.10" localSheetId="16">#REF!</definedName>
    <definedName name="A.10" localSheetId="9">#REF!</definedName>
    <definedName name="A.10">#REF!</definedName>
    <definedName name="A.120" localSheetId="7">#REF!</definedName>
    <definedName name="A.120" localSheetId="8">#REF!</definedName>
    <definedName name="A.120" localSheetId="16">#REF!</definedName>
    <definedName name="A.120" localSheetId="9">#REF!</definedName>
    <definedName name="A.120">#REF!</definedName>
    <definedName name="A.16" localSheetId="7">#REF!</definedName>
    <definedName name="A.16" localSheetId="8">#REF!</definedName>
    <definedName name="A.16" localSheetId="16">#REF!</definedName>
    <definedName name="A.16" localSheetId="0">#REF!</definedName>
    <definedName name="A.16" localSheetId="9">#REF!</definedName>
    <definedName name="A.16">#REF!</definedName>
    <definedName name="A.16A" localSheetId="7">#REF!</definedName>
    <definedName name="A.16A" localSheetId="8">#REF!</definedName>
    <definedName name="A.16A" localSheetId="16">#REF!</definedName>
    <definedName name="A.16A" localSheetId="9">#REF!</definedName>
    <definedName name="A.16A">#REF!</definedName>
    <definedName name="A.18" localSheetId="7">#REF!</definedName>
    <definedName name="A.18" localSheetId="8">#REF!</definedName>
    <definedName name="A.18" localSheetId="16">#REF!</definedName>
    <definedName name="A.18" localSheetId="9">#REF!</definedName>
    <definedName name="A.18">#REF!</definedName>
    <definedName name="A.18a" localSheetId="7">#REF!</definedName>
    <definedName name="A.18a" localSheetId="8">#REF!</definedName>
    <definedName name="A.18a" localSheetId="16">#REF!</definedName>
    <definedName name="A.18a" localSheetId="0">#REF!</definedName>
    <definedName name="A.18a" localSheetId="9">#REF!</definedName>
    <definedName name="A.18a">#REF!</definedName>
    <definedName name="A.18b" localSheetId="7">#REF!</definedName>
    <definedName name="A.18b" localSheetId="8">#REF!</definedName>
    <definedName name="A.18b" localSheetId="16">#REF!</definedName>
    <definedName name="A.18b" localSheetId="0">#REF!</definedName>
    <definedName name="A.18b" localSheetId="9">#REF!</definedName>
    <definedName name="A.18b">#REF!</definedName>
    <definedName name="A.2" localSheetId="7">#REF!</definedName>
    <definedName name="A.2" localSheetId="8">#REF!</definedName>
    <definedName name="A.2" localSheetId="16">#REF!</definedName>
    <definedName name="A.2" localSheetId="9">#REF!</definedName>
    <definedName name="A.2">#REF!</definedName>
    <definedName name="A.3" localSheetId="7">#REF!</definedName>
    <definedName name="A.3" localSheetId="8">#REF!</definedName>
    <definedName name="A.3" localSheetId="16">#REF!</definedName>
    <definedName name="A.3" localSheetId="9">#REF!</definedName>
    <definedName name="A.3">#REF!</definedName>
    <definedName name="A.364" localSheetId="7">#REF!</definedName>
    <definedName name="A.364" localSheetId="8">#REF!</definedName>
    <definedName name="A.364" localSheetId="16">#REF!</definedName>
    <definedName name="A.364" localSheetId="9">#REF!</definedName>
    <definedName name="A.364">#REF!</definedName>
    <definedName name="A.4" localSheetId="7">#REF!</definedName>
    <definedName name="A.4" localSheetId="8">#REF!</definedName>
    <definedName name="A.4" localSheetId="16">#REF!</definedName>
    <definedName name="A.4" localSheetId="9">#REF!</definedName>
    <definedName name="A.4">#REF!</definedName>
    <definedName name="A.5" localSheetId="7">#REF!</definedName>
    <definedName name="A.5" localSheetId="8">#REF!</definedName>
    <definedName name="A.5" localSheetId="16">#REF!</definedName>
    <definedName name="A.5" localSheetId="9">#REF!</definedName>
    <definedName name="A.5">#REF!</definedName>
    <definedName name="A.60" localSheetId="7">#REF!</definedName>
    <definedName name="A.60" localSheetId="8">#REF!</definedName>
    <definedName name="A.60" localSheetId="16">#REF!</definedName>
    <definedName name="A.60" localSheetId="9">#REF!</definedName>
    <definedName name="A.60">#REF!</definedName>
    <definedName name="A.9" localSheetId="7">#REF!</definedName>
    <definedName name="A.9" localSheetId="8">#REF!</definedName>
    <definedName name="A.9" localSheetId="16">#REF!</definedName>
    <definedName name="A.9" localSheetId="9">#REF!</definedName>
    <definedName name="A.9">#REF!</definedName>
    <definedName name="A.90" localSheetId="7">#REF!</definedName>
    <definedName name="A.90" localSheetId="8">#REF!</definedName>
    <definedName name="A.90" localSheetId="16">#REF!</definedName>
    <definedName name="A.90" localSheetId="9">#REF!</definedName>
    <definedName name="A.90">#REF!</definedName>
    <definedName name="A.I" localSheetId="7">[17]RAB!#REF!</definedName>
    <definedName name="A.I" localSheetId="8">[17]RAB!#REF!</definedName>
    <definedName name="A.I" localSheetId="16">[17]RAB!#REF!</definedName>
    <definedName name="A.I" localSheetId="9">[17]RAB!#REF!</definedName>
    <definedName name="A.I">[17]RAB!#REF!</definedName>
    <definedName name="A.II" localSheetId="7">[17]RAB!#REF!</definedName>
    <definedName name="A.II" localSheetId="8">[17]RAB!#REF!</definedName>
    <definedName name="A.II" localSheetId="16">[17]RAB!#REF!</definedName>
    <definedName name="A.II" localSheetId="9">[17]RAB!#REF!</definedName>
    <definedName name="A.II">[17]RAB!#REF!</definedName>
    <definedName name="A.III" localSheetId="7">[17]RAB!#REF!</definedName>
    <definedName name="A.III" localSheetId="8">[17]RAB!#REF!</definedName>
    <definedName name="A.III" localSheetId="16">[17]RAB!#REF!</definedName>
    <definedName name="A.III" localSheetId="9">[17]RAB!#REF!</definedName>
    <definedName name="A.III">[17]RAB!#REF!</definedName>
    <definedName name="A.IV" localSheetId="7">[17]RAB!#REF!</definedName>
    <definedName name="A.IV" localSheetId="8">[17]RAB!#REF!</definedName>
    <definedName name="A.IV" localSheetId="16">[17]RAB!#REF!</definedName>
    <definedName name="A.IV" localSheetId="9">[17]RAB!#REF!</definedName>
    <definedName name="A.IV">[17]RAB!#REF!</definedName>
    <definedName name="A.IX" localSheetId="7">[17]RAB!#REF!</definedName>
    <definedName name="A.IX" localSheetId="8">[17]RAB!#REF!</definedName>
    <definedName name="A.IX" localSheetId="16">[17]RAB!#REF!</definedName>
    <definedName name="A.IX" localSheetId="9">[17]RAB!#REF!</definedName>
    <definedName name="A.IX">[17]RAB!#REF!</definedName>
    <definedName name="A.V" localSheetId="7">[17]RAB!#REF!</definedName>
    <definedName name="A.V" localSheetId="8">[17]RAB!#REF!</definedName>
    <definedName name="A.V" localSheetId="16">[17]RAB!#REF!</definedName>
    <definedName name="A.V" localSheetId="9">[17]RAB!#REF!</definedName>
    <definedName name="A.V">[17]RAB!#REF!</definedName>
    <definedName name="A.VI" localSheetId="7">[17]RAB!#REF!</definedName>
    <definedName name="A.VI" localSheetId="8">[17]RAB!#REF!</definedName>
    <definedName name="A.VI" localSheetId="16">[17]RAB!#REF!</definedName>
    <definedName name="A.VI" localSheetId="9">[17]RAB!#REF!</definedName>
    <definedName name="A.VI">[17]RAB!#REF!</definedName>
    <definedName name="A.VII" localSheetId="7">[17]RAB!#REF!</definedName>
    <definedName name="A.VII" localSheetId="8">[17]RAB!#REF!</definedName>
    <definedName name="A.VII" localSheetId="16">[17]RAB!#REF!</definedName>
    <definedName name="A.VII" localSheetId="9">[17]RAB!#REF!</definedName>
    <definedName name="A.VII">[17]RAB!#REF!</definedName>
    <definedName name="A.VIII" localSheetId="7">[17]RAB!#REF!</definedName>
    <definedName name="A.VIII" localSheetId="8">[17]RAB!#REF!</definedName>
    <definedName name="A.VIII" localSheetId="16">[17]RAB!#REF!</definedName>
    <definedName name="A.VIII" localSheetId="9">[17]RAB!#REF!</definedName>
    <definedName name="A.VIII">[17]RAB!#REF!</definedName>
    <definedName name="A.X" localSheetId="7">[17]RAB!#REF!</definedName>
    <definedName name="A.X" localSheetId="8">[17]RAB!#REF!</definedName>
    <definedName name="A.X" localSheetId="16">[17]RAB!#REF!</definedName>
    <definedName name="A.X" localSheetId="9">[17]RAB!#REF!</definedName>
    <definedName name="A.X">[17]RAB!#REF!</definedName>
    <definedName name="AA" localSheetId="16">#REF!</definedName>
    <definedName name="AA" localSheetId="0">#REF!</definedName>
    <definedName name="AA">#REF!</definedName>
    <definedName name="ab" localSheetId="1">#REF!</definedName>
    <definedName name="ab" localSheetId="7">#REF!</definedName>
    <definedName name="ab" localSheetId="8">#REF!</definedName>
    <definedName name="ab" localSheetId="16">#REF!</definedName>
    <definedName name="ab" localSheetId="9">#REF!</definedName>
    <definedName name="ab">#REF!</definedName>
    <definedName name="ABC" localSheetId="1">#REF!</definedName>
    <definedName name="ABC" localSheetId="7">#REF!</definedName>
    <definedName name="ABC" localSheetId="8">#REF!</definedName>
    <definedName name="ABC" localSheetId="16">#REF!</definedName>
    <definedName name="ABC" localSheetId="9">#REF!</definedName>
    <definedName name="ABC">#REF!</definedName>
    <definedName name="acetelynt" localSheetId="1">'[18]harga lama'!#REF!</definedName>
    <definedName name="acetelynt" localSheetId="7">'[18]harga lama'!#REF!</definedName>
    <definedName name="acetelynt" localSheetId="8">'[18]harga lama'!#REF!</definedName>
    <definedName name="acetelynt" localSheetId="16">'[18]harga lama'!#REF!</definedName>
    <definedName name="acetelynt" localSheetId="9">'[18]harga lama'!#REF!</definedName>
    <definedName name="acetelynt">'[18]harga lama'!#REF!</definedName>
    <definedName name="ACI" localSheetId="1">#REF!</definedName>
    <definedName name="ACI" localSheetId="7">#REF!</definedName>
    <definedName name="ACI" localSheetId="8">#REF!</definedName>
    <definedName name="ACI" localSheetId="16">#REF!</definedName>
    <definedName name="ACI" localSheetId="9">#REF!</definedName>
    <definedName name="ACI">#REF!</definedName>
    <definedName name="adakah">'[3]Upah&amp;Bahan'!$C$21</definedName>
    <definedName name="aga" localSheetId="1">#REF!</definedName>
    <definedName name="aga" localSheetId="7">#REF!</definedName>
    <definedName name="aga" localSheetId="8">#REF!</definedName>
    <definedName name="aga" localSheetId="16">#REF!</definedName>
    <definedName name="aga" localSheetId="9">#REF!</definedName>
    <definedName name="aga">#REF!</definedName>
    <definedName name="agam" localSheetId="7">#REF!</definedName>
    <definedName name="agam" localSheetId="8">#REF!</definedName>
    <definedName name="agam" localSheetId="16">#REF!</definedName>
    <definedName name="agam" localSheetId="9">#REF!</definedName>
    <definedName name="agam">#REF!</definedName>
    <definedName name="agama" localSheetId="7">#REF!</definedName>
    <definedName name="agama" localSheetId="8">#REF!</definedName>
    <definedName name="agama" localSheetId="16">#REF!</definedName>
    <definedName name="agama" localSheetId="9">#REF!</definedName>
    <definedName name="agama">#REF!</definedName>
    <definedName name="agar" localSheetId="7">'[3]Kuantitas &amp; Harga'!#REF!</definedName>
    <definedName name="agar" localSheetId="8">'[3]Kuantitas &amp; Harga'!#REF!</definedName>
    <definedName name="agar" localSheetId="16">'[3]Kuantitas &amp; Harga'!#REF!</definedName>
    <definedName name="agar" localSheetId="9">'[3]Kuantitas &amp; Harga'!#REF!</definedName>
    <definedName name="agar">'[3]Kuantitas &amp; Harga'!#REF!</definedName>
    <definedName name="AGREGAT">'[7]Kuantitas &amp; Harga'!$A$102:$H$121</definedName>
    <definedName name="AIRCOMPRESOR611" localSheetId="1">#REF!</definedName>
    <definedName name="AIRCOMPRESOR611" localSheetId="7">#REF!</definedName>
    <definedName name="AIRCOMPRESOR611" localSheetId="8">#REF!</definedName>
    <definedName name="AIRCOMPRESOR611" localSheetId="16">#REF!</definedName>
    <definedName name="AIRCOMPRESOR611" localSheetId="9">#REF!</definedName>
    <definedName name="AIRCOMPRESOR611">#REF!</definedName>
    <definedName name="AIRCOMPRESOR819" localSheetId="7">#REF!</definedName>
    <definedName name="AIRCOMPRESOR819" localSheetId="8">#REF!</definedName>
    <definedName name="AIRCOMPRESOR819" localSheetId="16">#REF!</definedName>
    <definedName name="AIRCOMPRESOR819" localSheetId="9">#REF!</definedName>
    <definedName name="AIRCOMPRESOR819">#REF!</definedName>
    <definedName name="aku">'[3]Upah&amp;Bahan'!$C$16</definedName>
    <definedName name="ALAT" localSheetId="1">#REF!</definedName>
    <definedName name="ALAT" localSheetId="7">#REF!</definedName>
    <definedName name="ALAT" localSheetId="8">#REF!</definedName>
    <definedName name="ALAT" localSheetId="16">#REF!</definedName>
    <definedName name="ALAT" localSheetId="9">#REF!</definedName>
    <definedName name="ALAT">#REF!</definedName>
    <definedName name="alatbantu" localSheetId="1">'[18]harga lama'!#REF!</definedName>
    <definedName name="alatbantu" localSheetId="7">'[18]harga lama'!#REF!</definedName>
    <definedName name="alatbantu" localSheetId="8">'[18]harga lama'!#REF!</definedName>
    <definedName name="alatbantu" localSheetId="16">'[18]harga lama'!#REF!</definedName>
    <definedName name="alatbantu" localSheetId="9">'[18]harga lama'!#REF!</definedName>
    <definedName name="alatbantu">'[18]harga lama'!#REF!</definedName>
    <definedName name="ALATUTAMA" localSheetId="1">'[11]An. Alat'!#REF!</definedName>
    <definedName name="ALATUTAMA" localSheetId="7">'[11]An. Alat'!#REF!</definedName>
    <definedName name="ALATUTAMA" localSheetId="8">'[11]An. Alat'!#REF!</definedName>
    <definedName name="ALATUTAMA" localSheetId="16">'[11]An. Alat'!#REF!</definedName>
    <definedName name="ALATUTAMA" localSheetId="9">'[11]An. Alat'!#REF!</definedName>
    <definedName name="ALATUTAMA">'[11]An. Alat'!#REF!</definedName>
    <definedName name="alba2.20" localSheetId="1">#REF!</definedName>
    <definedName name="alba2.20" localSheetId="7">#REF!</definedName>
    <definedName name="alba2.20" localSheetId="8">#REF!</definedName>
    <definedName name="alba2.20" localSheetId="16">#REF!</definedName>
    <definedName name="alba2.20" localSheetId="9">#REF!</definedName>
    <definedName name="alba2.20">#REF!</definedName>
    <definedName name="AMOUNT" localSheetId="1">[19]MFC!#REF!</definedName>
    <definedName name="AMOUNT" localSheetId="7">[20]MFC!#REF!</definedName>
    <definedName name="AMOUNT" localSheetId="8">[20]MFC!#REF!</definedName>
    <definedName name="AMOUNT" localSheetId="16">[20]MFC!#REF!</definedName>
    <definedName name="AMOUNT" localSheetId="0">[20]MFC!#REF!</definedName>
    <definedName name="AMOUNT" localSheetId="9">[20]MFC!#REF!</definedName>
    <definedName name="AMOUNT">[20]MFC!#REF!</definedName>
    <definedName name="AMP" localSheetId="1">'[11]An. Alat'!#REF!</definedName>
    <definedName name="AMP" localSheetId="7">'[11]An. Alat'!#REF!</definedName>
    <definedName name="AMP" localSheetId="8">'[11]An. Alat'!#REF!</definedName>
    <definedName name="AMP" localSheetId="16">'[11]An. Alat'!#REF!</definedName>
    <definedName name="AMP" localSheetId="9">'[11]An. Alat'!#REF!</definedName>
    <definedName name="AMP">'[11]An. Alat'!#REF!</definedName>
    <definedName name="an.01" localSheetId="1">#REF!</definedName>
    <definedName name="an.01" localSheetId="7">#REF!</definedName>
    <definedName name="an.01" localSheetId="8">#REF!</definedName>
    <definedName name="an.01" localSheetId="16">#REF!</definedName>
    <definedName name="an.01" localSheetId="0">#REF!</definedName>
    <definedName name="an.01" localSheetId="9">#REF!</definedName>
    <definedName name="an.01">#REF!</definedName>
    <definedName name="an.02" localSheetId="7">#REF!</definedName>
    <definedName name="an.02" localSheetId="8">#REF!</definedName>
    <definedName name="an.02" localSheetId="16">#REF!</definedName>
    <definedName name="an.02" localSheetId="0">#REF!</definedName>
    <definedName name="an.02" localSheetId="9">#REF!</definedName>
    <definedName name="an.02">#REF!</definedName>
    <definedName name="an.03" localSheetId="7">#REF!</definedName>
    <definedName name="an.03" localSheetId="8">#REF!</definedName>
    <definedName name="an.03" localSheetId="16">#REF!</definedName>
    <definedName name="an.03" localSheetId="0">#REF!</definedName>
    <definedName name="an.03" localSheetId="9">#REF!</definedName>
    <definedName name="an.03">#REF!</definedName>
    <definedName name="an.03a" localSheetId="7">#REF!</definedName>
    <definedName name="an.03a" localSheetId="8">#REF!</definedName>
    <definedName name="an.03a" localSheetId="16">#REF!</definedName>
    <definedName name="an.03a" localSheetId="9">#REF!</definedName>
    <definedName name="an.03a">#REF!</definedName>
    <definedName name="an.04" localSheetId="7">#REF!</definedName>
    <definedName name="an.04" localSheetId="8">#REF!</definedName>
    <definedName name="an.04" localSheetId="16">#REF!</definedName>
    <definedName name="an.04" localSheetId="0">#REF!</definedName>
    <definedName name="an.04" localSheetId="9">#REF!</definedName>
    <definedName name="an.04">#REF!</definedName>
    <definedName name="an.05" localSheetId="7">#REF!</definedName>
    <definedName name="an.05" localSheetId="8">#REF!</definedName>
    <definedName name="an.05" localSheetId="16">#REF!</definedName>
    <definedName name="an.05" localSheetId="0">#REF!</definedName>
    <definedName name="an.05" localSheetId="9">#REF!</definedName>
    <definedName name="an.05">#REF!</definedName>
    <definedName name="an.05a" localSheetId="7">#REF!</definedName>
    <definedName name="an.05a" localSheetId="8">#REF!</definedName>
    <definedName name="an.05a" localSheetId="16">#REF!</definedName>
    <definedName name="an.05a" localSheetId="9">#REF!</definedName>
    <definedName name="an.05a">#REF!</definedName>
    <definedName name="an.06" localSheetId="7">#REF!</definedName>
    <definedName name="an.06" localSheetId="8">#REF!</definedName>
    <definedName name="an.06" localSheetId="16">#REF!</definedName>
    <definedName name="an.06" localSheetId="0">#REF!</definedName>
    <definedName name="an.06" localSheetId="9">#REF!</definedName>
    <definedName name="an.06">#REF!</definedName>
    <definedName name="an.06a" localSheetId="7">#REF!</definedName>
    <definedName name="an.06a" localSheetId="8">#REF!</definedName>
    <definedName name="an.06a" localSheetId="16">#REF!</definedName>
    <definedName name="an.06a" localSheetId="9">#REF!</definedName>
    <definedName name="an.06a">#REF!</definedName>
    <definedName name="an.07" localSheetId="7">#REF!</definedName>
    <definedName name="an.07" localSheetId="8">#REF!</definedName>
    <definedName name="an.07" localSheetId="16">#REF!</definedName>
    <definedName name="an.07" localSheetId="0">#REF!</definedName>
    <definedName name="an.07" localSheetId="9">#REF!</definedName>
    <definedName name="an.07">#REF!</definedName>
    <definedName name="an.08" localSheetId="7">#REF!</definedName>
    <definedName name="an.08" localSheetId="8">#REF!</definedName>
    <definedName name="an.08" localSheetId="16">#REF!</definedName>
    <definedName name="an.08" localSheetId="0">#REF!</definedName>
    <definedName name="an.08" localSheetId="9">#REF!</definedName>
    <definedName name="an.08">#REF!</definedName>
    <definedName name="an.09" localSheetId="7">#REF!</definedName>
    <definedName name="an.09" localSheetId="8">#REF!</definedName>
    <definedName name="an.09" localSheetId="16">#REF!</definedName>
    <definedName name="an.09" localSheetId="0">#REF!</definedName>
    <definedName name="an.09" localSheetId="9">#REF!</definedName>
    <definedName name="an.09">#REF!</definedName>
    <definedName name="an.10" localSheetId="7">#REF!</definedName>
    <definedName name="an.10" localSheetId="8">#REF!</definedName>
    <definedName name="an.10" localSheetId="16">#REF!</definedName>
    <definedName name="an.10" localSheetId="0">#REF!</definedName>
    <definedName name="an.10" localSheetId="9">#REF!</definedName>
    <definedName name="an.10">#REF!</definedName>
    <definedName name="an.11" localSheetId="7">#REF!</definedName>
    <definedName name="an.11" localSheetId="8">#REF!</definedName>
    <definedName name="an.11" localSheetId="16">#REF!</definedName>
    <definedName name="an.11" localSheetId="0">#REF!</definedName>
    <definedName name="an.11" localSheetId="9">#REF!</definedName>
    <definedName name="an.11">#REF!</definedName>
    <definedName name="an.12" localSheetId="7">#REF!</definedName>
    <definedName name="an.12" localSheetId="8">#REF!</definedName>
    <definedName name="an.12" localSheetId="16">#REF!</definedName>
    <definedName name="an.12" localSheetId="0">#REF!</definedName>
    <definedName name="an.12" localSheetId="9">#REF!</definedName>
    <definedName name="an.12">#REF!</definedName>
    <definedName name="AN.13" localSheetId="7">#REF!</definedName>
    <definedName name="AN.13" localSheetId="8">#REF!</definedName>
    <definedName name="AN.13" localSheetId="16">#REF!</definedName>
    <definedName name="AN.13" localSheetId="0">#REF!</definedName>
    <definedName name="AN.13" localSheetId="9">#REF!</definedName>
    <definedName name="AN.13">#REF!</definedName>
    <definedName name="an.13444444444444" localSheetId="7">#REF!</definedName>
    <definedName name="an.13444444444444" localSheetId="8">#REF!</definedName>
    <definedName name="an.13444444444444" localSheetId="16">#REF!</definedName>
    <definedName name="an.13444444444444" localSheetId="9">#REF!</definedName>
    <definedName name="an.13444444444444">#REF!</definedName>
    <definedName name="AN.14" localSheetId="7">#REF!</definedName>
    <definedName name="AN.14" localSheetId="8">#REF!</definedName>
    <definedName name="AN.14" localSheetId="16">#REF!</definedName>
    <definedName name="AN.14" localSheetId="9">#REF!</definedName>
    <definedName name="AN.14">#REF!</definedName>
    <definedName name="anak">'[3]Upah&amp;Bahan'!$C$19</definedName>
    <definedName name="ANALIS" localSheetId="4">[21]ANALISA!#REF!</definedName>
    <definedName name="ANALIS" localSheetId="1">[21]ANALISA!#REF!</definedName>
    <definedName name="ANALIS" localSheetId="7">[21]ANALISA!#REF!</definedName>
    <definedName name="ANALIS" localSheetId="8">[21]ANALISA!#REF!</definedName>
    <definedName name="ANALIS" localSheetId="16">[21]ANALISA!#REF!</definedName>
    <definedName name="ANALIS" localSheetId="9">[21]ANALISA!#REF!</definedName>
    <definedName name="ANALIS">[21]ANALISA!#REF!</definedName>
    <definedName name="ANALISA" localSheetId="1">#REF!</definedName>
    <definedName name="ANALISA" localSheetId="7">#REF!</definedName>
    <definedName name="ANALISA" localSheetId="8">#REF!</definedName>
    <definedName name="ANALISA" localSheetId="16">#REF!</definedName>
    <definedName name="ANALISA" localSheetId="0">#REF!</definedName>
    <definedName name="ANALISA" localSheetId="9">#REF!</definedName>
    <definedName name="ANALISA">#REF!</definedName>
    <definedName name="ANALISA_ALAT">'[2]AN ALAT(ok)'!$B$1:$M$1399</definedName>
    <definedName name="ANALISA_HARGA_SATUAN_MATA_PEMBAYARAN_UTAMA" localSheetId="1">#REF!</definedName>
    <definedName name="ANALISA_HARGA_SATUAN_MATA_PEMBAYARAN_UTAMA" localSheetId="7">#REF!</definedName>
    <definedName name="ANALISA_HARGA_SATUAN_MATA_PEMBAYARAN_UTAMA" localSheetId="8">#REF!</definedName>
    <definedName name="ANALISA_HARGA_SATUAN_MATA_PEMBAYARAN_UTAMA" localSheetId="16">#REF!</definedName>
    <definedName name="ANALISA_HARGA_SATUAN_MATA_PEMBAYARAN_UTAMA" localSheetId="0">#REF!</definedName>
    <definedName name="ANALISA_HARGA_SATUAN_MATA_PEMBAYARAN_UTAMA" localSheetId="9">#REF!</definedName>
    <definedName name="ANALISA_HARGA_SATUAN_MATA_PEMBAYARAN_UTAMA">#REF!</definedName>
    <definedName name="Analisa101A">'[7]DIV.10 Analisa HSP'!$J$51</definedName>
    <definedName name="Analisa101B">'[7]DIV.10 Analisa HSP'!$J$231</definedName>
    <definedName name="Analisa101C">'[7]DIV.10 Analisa HSP'!$J$410</definedName>
    <definedName name="Analisa101D">'[7]DIV.10 Analisa HSP'!$J$589</definedName>
    <definedName name="Analisa101E">'[7]DIV.10 Analisa HSP'!$J$768</definedName>
    <definedName name="analisa146" localSheetId="1">#REF!</definedName>
    <definedName name="analisa146" localSheetId="7">#REF!</definedName>
    <definedName name="analisa146" localSheetId="8">#REF!</definedName>
    <definedName name="analisa146" localSheetId="16">#REF!</definedName>
    <definedName name="analisa146" localSheetId="9">#REF!</definedName>
    <definedName name="analisa146">#REF!</definedName>
    <definedName name="ANL" localSheetId="1">[22]ANALISA!#REF!</definedName>
    <definedName name="ANL" localSheetId="7">[22]ANALISA!#REF!</definedName>
    <definedName name="ANL" localSheetId="8">[22]ANALISA!#REF!</definedName>
    <definedName name="ANL" localSheetId="16">[22]ANALISA!#REF!</definedName>
    <definedName name="ANL" localSheetId="9">[22]ANALISA!#REF!</definedName>
    <definedName name="ANL">[22]ANALISA!#REF!</definedName>
    <definedName name="anl.2k6.k18.k23.k30" localSheetId="1">[6]ANALISA!#REF!</definedName>
    <definedName name="anl.2k6.k18.k23.k30" localSheetId="7">[6]ANALISA!#REF!</definedName>
    <definedName name="anl.2k6.k18.k23.k30" localSheetId="8">[6]ANALISA!#REF!</definedName>
    <definedName name="anl.2k6.k18.k23.k30" localSheetId="16">[6]ANALISA!#REF!</definedName>
    <definedName name="anl.2k6.k18.k23.k30" localSheetId="9">[6]ANALISA!#REF!</definedName>
    <definedName name="anl.2k6.k18.k23.k30">[6]ANALISA!#REF!</definedName>
    <definedName name="anl.dindingkeramik20" localSheetId="7">[23]ANALISA!#REF!</definedName>
    <definedName name="anl.dindingkeramik20" localSheetId="8">[23]ANALISA!#REF!</definedName>
    <definedName name="anl.dindingkeramik20" localSheetId="16">[23]ANALISA!#REF!</definedName>
    <definedName name="anl.dindingkeramik20" localSheetId="9">[23]ANALISA!#REF!</definedName>
    <definedName name="anl.dindingkeramik20">[23]ANALISA!#REF!</definedName>
    <definedName name="anl.f21" localSheetId="7">[6]ANALISA!#REF!</definedName>
    <definedName name="anl.f21" localSheetId="8">[6]ANALISA!#REF!</definedName>
    <definedName name="anl.f21" localSheetId="16">[6]ANALISA!#REF!</definedName>
    <definedName name="anl.f21" localSheetId="9">[6]ANALISA!#REF!</definedName>
    <definedName name="anl.f21">[6]ANALISA!#REF!</definedName>
    <definedName name="anl.f8a" localSheetId="7">[6]ANALISA!#REF!</definedName>
    <definedName name="anl.f8a" localSheetId="8">[6]ANALISA!#REF!</definedName>
    <definedName name="anl.f8a" localSheetId="16">[6]ANALISA!#REF!</definedName>
    <definedName name="anl.f8a" localSheetId="9">[6]ANALISA!#REF!</definedName>
    <definedName name="anl.f8a">[6]ANALISA!#REF!</definedName>
    <definedName name="anl.g67.5" localSheetId="7">[6]ANALISA!#REF!</definedName>
    <definedName name="anl.g67.5" localSheetId="8">[6]ANALISA!#REF!</definedName>
    <definedName name="anl.g67.5" localSheetId="16">[6]ANALISA!#REF!</definedName>
    <definedName name="anl.g67.5" localSheetId="9">[6]ANALISA!#REF!</definedName>
    <definedName name="anl.g67.5">[6]ANALISA!#REF!</definedName>
    <definedName name="anl.g67.7" localSheetId="7">[6]ANALISA!#REF!</definedName>
    <definedName name="anl.g67.7" localSheetId="8">[6]ANALISA!#REF!</definedName>
    <definedName name="anl.g67.7" localSheetId="16">[6]ANALISA!#REF!</definedName>
    <definedName name="anl.g67.7" localSheetId="9">[6]ANALISA!#REF!</definedName>
    <definedName name="anl.g67.7">[6]ANALISA!#REF!</definedName>
    <definedName name="anl.k5.2k6.k23" localSheetId="7">[6]ANALISA!#REF!</definedName>
    <definedName name="anl.k5.2k6.k23" localSheetId="8">[6]ANALISA!#REF!</definedName>
    <definedName name="anl.k5.2k6.k23" localSheetId="16">[6]ANALISA!#REF!</definedName>
    <definedName name="anl.k5.2k6.k23" localSheetId="9">[6]ANALISA!#REF!</definedName>
    <definedName name="anl.k5.2k6.k23">[6]ANALISA!#REF!</definedName>
    <definedName name="anl.k5.2k6.k23.k30" localSheetId="7">[6]ANALISA!#REF!</definedName>
    <definedName name="anl.k5.2k6.k23.k30" localSheetId="8">[6]ANALISA!#REF!</definedName>
    <definedName name="anl.k5.2k6.k23.k30" localSheetId="16">[6]ANALISA!#REF!</definedName>
    <definedName name="anl.k5.2k6.k23.k30" localSheetId="9">[6]ANALISA!#REF!</definedName>
    <definedName name="anl.k5.2k6.k23.k30">[6]ANALISA!#REF!</definedName>
    <definedName name="anl.keramik20anti" localSheetId="7">[23]ANALISA!#REF!</definedName>
    <definedName name="anl.keramik20anti" localSheetId="8">[23]ANALISA!#REF!</definedName>
    <definedName name="anl.keramik20anti" localSheetId="16">[23]ANALISA!#REF!</definedName>
    <definedName name="anl.keramik20anti" localSheetId="9">[23]ANALISA!#REF!</definedName>
    <definedName name="anl.keramik20anti">[23]ANALISA!#REF!</definedName>
    <definedName name="anl.supl3a" localSheetId="7">[6]ANALISA!#REF!</definedName>
    <definedName name="anl.supl3a" localSheetId="8">[6]ANALISA!#REF!</definedName>
    <definedName name="anl.supl3a" localSheetId="16">[6]ANALISA!#REF!</definedName>
    <definedName name="anl.supl3a" localSheetId="9">[6]ANALISA!#REF!</definedName>
    <definedName name="anl.supl3a">[6]ANALISA!#REF!</definedName>
    <definedName name="anl.supl3b" localSheetId="7">[6]ANALISA!#REF!</definedName>
    <definedName name="anl.supl3b" localSheetId="8">[6]ANALISA!#REF!</definedName>
    <definedName name="anl.supl3b" localSheetId="16">[6]ANALISA!#REF!</definedName>
    <definedName name="anl.supl3b" localSheetId="9">[6]ANALISA!#REF!</definedName>
    <definedName name="anl.supl3b">[6]ANALISA!#REF!</definedName>
    <definedName name="anl.supl3c" localSheetId="7">[6]ANALISA!#REF!</definedName>
    <definedName name="anl.supl3c" localSheetId="8">[6]ANALISA!#REF!</definedName>
    <definedName name="anl.supl3c" localSheetId="16">[6]ANALISA!#REF!</definedName>
    <definedName name="anl.supl3c" localSheetId="9">[6]ANALISA!#REF!</definedName>
    <definedName name="anl.supl3c">[6]ANALISA!#REF!</definedName>
    <definedName name="anl.supl4a" localSheetId="7">[6]ANALISA!#REF!</definedName>
    <definedName name="anl.supl4a" localSheetId="8">[6]ANALISA!#REF!</definedName>
    <definedName name="anl.supl4a" localSheetId="16">[6]ANALISA!#REF!</definedName>
    <definedName name="anl.supl4a" localSheetId="9">[6]ANALISA!#REF!</definedName>
    <definedName name="anl.supl4a">[6]ANALISA!#REF!</definedName>
    <definedName name="anl.supl4b" localSheetId="7">[6]ANALISA!#REF!</definedName>
    <definedName name="anl.supl4b" localSheetId="8">[6]ANALISA!#REF!</definedName>
    <definedName name="anl.supl4b" localSheetId="16">[6]ANALISA!#REF!</definedName>
    <definedName name="anl.supl4b" localSheetId="9">[6]ANALISA!#REF!</definedName>
    <definedName name="anl.supl4b">[6]ANALISA!#REF!</definedName>
    <definedName name="anlf26" localSheetId="7">[24]ANALISA!#REF!</definedName>
    <definedName name="anlf26" localSheetId="8">[24]ANALISA!#REF!</definedName>
    <definedName name="anlf26" localSheetId="16">[24]ANALISA!#REF!</definedName>
    <definedName name="anlf26" localSheetId="9">[24]ANALISA!#REF!</definedName>
    <definedName name="anlf26">[24]ANALISA!#REF!</definedName>
    <definedName name="anlf8" localSheetId="7">[25]ANALISA!#REF!</definedName>
    <definedName name="anlf8" localSheetId="8">[25]ANALISA!#REF!</definedName>
    <definedName name="anlf8" localSheetId="16">[25]ANALISA!#REF!</definedName>
    <definedName name="anlf8" localSheetId="9">[25]ANALISA!#REF!</definedName>
    <definedName name="anlf8">[25]ANALISA!#REF!</definedName>
    <definedName name="anlg16" localSheetId="7">[25]ANALISA!#REF!</definedName>
    <definedName name="anlg16" localSheetId="8">[25]ANALISA!#REF!</definedName>
    <definedName name="anlg16" localSheetId="16">[25]ANALISA!#REF!</definedName>
    <definedName name="anlg16" localSheetId="9">[25]ANALISA!#REF!</definedName>
    <definedName name="anlg16">[25]ANALISA!#REF!</definedName>
    <definedName name="anlg19" localSheetId="7">[25]ANALISA!#REF!</definedName>
    <definedName name="anlg19" localSheetId="8">[25]ANALISA!#REF!</definedName>
    <definedName name="anlg19" localSheetId="16">[25]ANALISA!#REF!</definedName>
    <definedName name="anlg19" localSheetId="9">[25]ANALISA!#REF!</definedName>
    <definedName name="anlg19">[25]ANALISA!#REF!</definedName>
    <definedName name="ANLG2" localSheetId="7">[25]ANALISA!#REF!</definedName>
    <definedName name="ANLG2" localSheetId="8">[25]ANALISA!#REF!</definedName>
    <definedName name="ANLG2" localSheetId="16">[25]ANALISA!#REF!</definedName>
    <definedName name="ANLG2" localSheetId="9">[25]ANALISA!#REF!</definedName>
    <definedName name="ANLG2">[25]ANALISA!#REF!</definedName>
    <definedName name="anlg32h" localSheetId="7">[25]ANALISA!#REF!</definedName>
    <definedName name="anlg32h" localSheetId="8">[25]ANALISA!#REF!</definedName>
    <definedName name="anlg32h" localSheetId="16">[25]ANALISA!#REF!</definedName>
    <definedName name="anlg32h" localSheetId="9">[25]ANALISA!#REF!</definedName>
    <definedName name="anlg32h">[25]ANALISA!#REF!</definedName>
    <definedName name="anlg33h" localSheetId="7">[26]ANALISA!#REF!</definedName>
    <definedName name="anlg33h" localSheetId="8">[26]ANALISA!#REF!</definedName>
    <definedName name="anlg33h" localSheetId="16">[26]ANALISA!#REF!</definedName>
    <definedName name="anlg33h" localSheetId="9">[26]ANALISA!#REF!</definedName>
    <definedName name="anlg33h">[26]ANALISA!#REF!</definedName>
    <definedName name="ANLG33I" localSheetId="7">[26]ANALISA!#REF!</definedName>
    <definedName name="ANLG33I" localSheetId="8">[26]ANALISA!#REF!</definedName>
    <definedName name="ANLG33I" localSheetId="16">[26]ANALISA!#REF!</definedName>
    <definedName name="ANLG33I" localSheetId="9">[26]ANALISA!#REF!</definedName>
    <definedName name="ANLG33I">[26]ANALISA!#REF!</definedName>
    <definedName name="anlg41" localSheetId="7">[25]ANALISA!#REF!</definedName>
    <definedName name="anlg41" localSheetId="8">[25]ANALISA!#REF!</definedName>
    <definedName name="anlg41" localSheetId="16">[25]ANALISA!#REF!</definedName>
    <definedName name="anlg41" localSheetId="9">[25]ANALISA!#REF!</definedName>
    <definedName name="anlg41">[25]ANALISA!#REF!</definedName>
    <definedName name="anlg50h" localSheetId="7">[25]ANALISA!#REF!</definedName>
    <definedName name="anlg50h" localSheetId="8">[25]ANALISA!#REF!</definedName>
    <definedName name="anlg50h" localSheetId="16">[25]ANALISA!#REF!</definedName>
    <definedName name="anlg50h" localSheetId="9">[25]ANALISA!#REF!</definedName>
    <definedName name="anlg50h">[25]ANALISA!#REF!</definedName>
    <definedName name="anlg50q" localSheetId="7">[26]ANALISA!#REF!</definedName>
    <definedName name="anlg50q" localSheetId="8">[26]ANALISA!#REF!</definedName>
    <definedName name="anlg50q" localSheetId="16">[26]ANALISA!#REF!</definedName>
    <definedName name="anlg50q" localSheetId="9">[26]ANALISA!#REF!</definedName>
    <definedName name="anlg50q">[26]ANALISA!#REF!</definedName>
    <definedName name="ANLG67" localSheetId="1">#REF!</definedName>
    <definedName name="ANLG67" localSheetId="7">#REF!</definedName>
    <definedName name="ANLG67" localSheetId="8">#REF!</definedName>
    <definedName name="ANLG67" localSheetId="16">#REF!</definedName>
    <definedName name="ANLG67" localSheetId="9">#REF!</definedName>
    <definedName name="ANLG67">#REF!</definedName>
    <definedName name="anlg67a" localSheetId="1">[25]ANALISA!#REF!</definedName>
    <definedName name="anlg67a" localSheetId="7">[25]ANALISA!#REF!</definedName>
    <definedName name="anlg67a" localSheetId="8">[25]ANALISA!#REF!</definedName>
    <definedName name="anlg67a" localSheetId="16">[25]ANALISA!#REF!</definedName>
    <definedName name="anlg67a" localSheetId="9">[25]ANALISA!#REF!</definedName>
    <definedName name="anlg67a">[25]ANALISA!#REF!</definedName>
    <definedName name="anli2" localSheetId="7">[25]ANALISA!#REF!</definedName>
    <definedName name="anli2" localSheetId="8">[25]ANALISA!#REF!</definedName>
    <definedName name="anli2" localSheetId="16">[25]ANALISA!#REF!</definedName>
    <definedName name="anli2" localSheetId="9">[25]ANALISA!#REF!</definedName>
    <definedName name="anli2">[25]ANALISA!#REF!</definedName>
    <definedName name="ANLK012" localSheetId="1">#REF!</definedName>
    <definedName name="ANLK012" localSheetId="7">#REF!</definedName>
    <definedName name="ANLK012" localSheetId="8">#REF!</definedName>
    <definedName name="ANLK012" localSheetId="16">#REF!</definedName>
    <definedName name="ANLK012" localSheetId="9">#REF!</definedName>
    <definedName name="ANLK012">#REF!</definedName>
    <definedName name="ANLK017" localSheetId="7">#REF!</definedName>
    <definedName name="ANLK017" localSheetId="8">#REF!</definedName>
    <definedName name="ANLK017" localSheetId="16">#REF!</definedName>
    <definedName name="ANLK017" localSheetId="9">#REF!</definedName>
    <definedName name="ANLK017">#REF!</definedName>
    <definedName name="ANLK023" localSheetId="7">#REF!</definedName>
    <definedName name="ANLK023" localSheetId="8">#REF!</definedName>
    <definedName name="ANLK023" localSheetId="16">#REF!</definedName>
    <definedName name="ANLK023" localSheetId="9">#REF!</definedName>
    <definedName name="ANLK023">#REF!</definedName>
    <definedName name="ANLK035" localSheetId="7">#REF!</definedName>
    <definedName name="ANLK035" localSheetId="8">#REF!</definedName>
    <definedName name="ANLK035" localSheetId="16">#REF!</definedName>
    <definedName name="ANLK035" localSheetId="9">#REF!</definedName>
    <definedName name="ANLK035">#REF!</definedName>
    <definedName name="ANLK110" localSheetId="7">#REF!</definedName>
    <definedName name="ANLK110" localSheetId="8">#REF!</definedName>
    <definedName name="ANLK110" localSheetId="16">#REF!</definedName>
    <definedName name="ANLK110" localSheetId="9">#REF!</definedName>
    <definedName name="ANLK110">#REF!</definedName>
    <definedName name="ANLK112" localSheetId="7">#REF!</definedName>
    <definedName name="ANLK112" localSheetId="8">#REF!</definedName>
    <definedName name="ANLK112" localSheetId="16">#REF!</definedName>
    <definedName name="ANLK112" localSheetId="9">#REF!</definedName>
    <definedName name="ANLK112">#REF!</definedName>
    <definedName name="ANLK121" localSheetId="7">#REF!</definedName>
    <definedName name="ANLK121" localSheetId="8">#REF!</definedName>
    <definedName name="ANLK121" localSheetId="16">#REF!</definedName>
    <definedName name="ANLK121" localSheetId="9">#REF!</definedName>
    <definedName name="ANLK121">#REF!</definedName>
    <definedName name="ANLK123" localSheetId="7">#REF!</definedName>
    <definedName name="ANLK123" localSheetId="8">#REF!</definedName>
    <definedName name="ANLK123" localSheetId="16">#REF!</definedName>
    <definedName name="ANLK123" localSheetId="9">#REF!</definedName>
    <definedName name="ANLK123">#REF!</definedName>
    <definedName name="ANLK211" localSheetId="7">#REF!</definedName>
    <definedName name="ANLK211" localSheetId="8">#REF!</definedName>
    <definedName name="ANLK211" localSheetId="16">#REF!</definedName>
    <definedName name="ANLK211" localSheetId="9">#REF!</definedName>
    <definedName name="ANLK211">#REF!</definedName>
    <definedName name="ANLK224" localSheetId="7">#REF!</definedName>
    <definedName name="ANLK224" localSheetId="8">#REF!</definedName>
    <definedName name="ANLK224" localSheetId="16">#REF!</definedName>
    <definedName name="ANLK224" localSheetId="9">#REF!</definedName>
    <definedName name="ANLK224">#REF!</definedName>
    <definedName name="ANLK311" localSheetId="7">#REF!</definedName>
    <definedName name="ANLK311" localSheetId="8">#REF!</definedName>
    <definedName name="ANLK311" localSheetId="16">#REF!</definedName>
    <definedName name="ANLK311" localSheetId="9">#REF!</definedName>
    <definedName name="ANLK311">#REF!</definedName>
    <definedName name="ANLK321" localSheetId="7">#REF!</definedName>
    <definedName name="ANLK321" localSheetId="8">#REF!</definedName>
    <definedName name="ANLK321" localSheetId="16">#REF!</definedName>
    <definedName name="ANLK321" localSheetId="9">#REF!</definedName>
    <definedName name="ANLK321">#REF!</definedName>
    <definedName name="ANLK411" localSheetId="7">#REF!</definedName>
    <definedName name="ANLK411" localSheetId="8">#REF!</definedName>
    <definedName name="ANLK411" localSheetId="16">#REF!</definedName>
    <definedName name="ANLK411" localSheetId="9">#REF!</definedName>
    <definedName name="ANLK411">#REF!</definedName>
    <definedName name="ANLK514" localSheetId="7">#REF!</definedName>
    <definedName name="ANLK514" localSheetId="8">#REF!</definedName>
    <definedName name="ANLK514" localSheetId="16">#REF!</definedName>
    <definedName name="ANLK514" localSheetId="9">#REF!</definedName>
    <definedName name="ANLK514">#REF!</definedName>
    <definedName name="ANLK520" localSheetId="7">#REF!</definedName>
    <definedName name="ANLK520" localSheetId="8">#REF!</definedName>
    <definedName name="ANLK520" localSheetId="16">#REF!</definedName>
    <definedName name="ANLK520" localSheetId="9">#REF!</definedName>
    <definedName name="ANLK520">#REF!</definedName>
    <definedName name="ANLK521" localSheetId="7">#REF!</definedName>
    <definedName name="ANLK521" localSheetId="8">#REF!</definedName>
    <definedName name="ANLK521" localSheetId="16">#REF!</definedName>
    <definedName name="ANLK521" localSheetId="9">#REF!</definedName>
    <definedName name="ANLK521">#REF!</definedName>
    <definedName name="ANLK618" localSheetId="7">#REF!</definedName>
    <definedName name="ANLK618" localSheetId="8">#REF!</definedName>
    <definedName name="ANLK618" localSheetId="16">#REF!</definedName>
    <definedName name="ANLK618" localSheetId="9">#REF!</definedName>
    <definedName name="ANLK618">#REF!</definedName>
    <definedName name="ANLK636" localSheetId="7">#REF!</definedName>
    <definedName name="ANLK636" localSheetId="8">#REF!</definedName>
    <definedName name="ANLK636" localSheetId="16">#REF!</definedName>
    <definedName name="ANLK636" localSheetId="9">#REF!</definedName>
    <definedName name="ANLK636">#REF!</definedName>
    <definedName name="ANLK638" localSheetId="7">#REF!</definedName>
    <definedName name="ANLK638" localSheetId="8">#REF!</definedName>
    <definedName name="ANLK638" localSheetId="16">#REF!</definedName>
    <definedName name="ANLK638" localSheetId="9">#REF!</definedName>
    <definedName name="ANLK638">#REF!</definedName>
    <definedName name="ANLK710" localSheetId="7">#REF!</definedName>
    <definedName name="ANLK710" localSheetId="8">#REF!</definedName>
    <definedName name="ANLK710" localSheetId="16">#REF!</definedName>
    <definedName name="ANLK710" localSheetId="9">#REF!</definedName>
    <definedName name="ANLK710">#REF!</definedName>
    <definedName name="ANLK715" localSheetId="7">#REF!</definedName>
    <definedName name="ANLK715" localSheetId="8">#REF!</definedName>
    <definedName name="ANLK715" localSheetId="16">#REF!</definedName>
    <definedName name="ANLK715" localSheetId="9">#REF!</definedName>
    <definedName name="ANLK715">#REF!</definedName>
    <definedName name="ANLK720" localSheetId="7">#REF!</definedName>
    <definedName name="ANLK720" localSheetId="8">#REF!</definedName>
    <definedName name="ANLK720" localSheetId="16">#REF!</definedName>
    <definedName name="ANLK720" localSheetId="9">#REF!</definedName>
    <definedName name="ANLK720">#REF!</definedName>
    <definedName name="ANLK725" localSheetId="7">#REF!</definedName>
    <definedName name="ANLK725" localSheetId="8">#REF!</definedName>
    <definedName name="ANLK725" localSheetId="16">#REF!</definedName>
    <definedName name="ANLK725" localSheetId="9">#REF!</definedName>
    <definedName name="ANLK725">#REF!</definedName>
    <definedName name="ANLK726" localSheetId="7">#REF!</definedName>
    <definedName name="ANLK726" localSheetId="8">#REF!</definedName>
    <definedName name="ANLK726" localSheetId="16">#REF!</definedName>
    <definedName name="ANLK726" localSheetId="9">#REF!</definedName>
    <definedName name="ANLK726">#REF!</definedName>
    <definedName name="ANLK727" localSheetId="7">#REF!</definedName>
    <definedName name="ANLK727" localSheetId="8">#REF!</definedName>
    <definedName name="ANLK727" localSheetId="16">#REF!</definedName>
    <definedName name="ANLK727" localSheetId="9">#REF!</definedName>
    <definedName name="ANLK727">#REF!</definedName>
    <definedName name="ANLK810" localSheetId="7">#REF!</definedName>
    <definedName name="ANLK810" localSheetId="8">#REF!</definedName>
    <definedName name="ANLK810" localSheetId="16">#REF!</definedName>
    <definedName name="ANLK810" localSheetId="9">#REF!</definedName>
    <definedName name="ANLK810">#REF!</definedName>
    <definedName name="ANLK815" localSheetId="7">#REF!</definedName>
    <definedName name="ANLK815" localSheetId="8">#REF!</definedName>
    <definedName name="ANLK815" localSheetId="16">#REF!</definedName>
    <definedName name="ANLK815" localSheetId="9">#REF!</definedName>
    <definedName name="ANLK815">#REF!</definedName>
    <definedName name="ANLK880" localSheetId="7">#REF!</definedName>
    <definedName name="ANLK880" localSheetId="8">#REF!</definedName>
    <definedName name="ANLK880" localSheetId="16">#REF!</definedName>
    <definedName name="ANLK880" localSheetId="9">#REF!</definedName>
    <definedName name="ANLK880">#REF!</definedName>
    <definedName name="ANLKF1" localSheetId="7">[27]An.BOW!#REF!</definedName>
    <definedName name="ANLKF1" localSheetId="8">[27]An.BOW!#REF!</definedName>
    <definedName name="ANLKF1" localSheetId="16">[27]An.BOW!#REF!</definedName>
    <definedName name="ANLKF1" localSheetId="9">[27]An.BOW!#REF!</definedName>
    <definedName name="ANLKF1">[27]An.BOW!#REF!</definedName>
    <definedName name="ANLKF3" localSheetId="7">[27]An.BOW!#REF!</definedName>
    <definedName name="ANLKF3" localSheetId="8">[27]An.BOW!#REF!</definedName>
    <definedName name="ANLKF3" localSheetId="16">[27]An.BOW!#REF!</definedName>
    <definedName name="ANLKF3" localSheetId="9">[27]An.BOW!#REF!</definedName>
    <definedName name="ANLKF3">[27]An.BOW!#REF!</definedName>
    <definedName name="ANLKF8" localSheetId="7">[27]An.BOW!#REF!</definedName>
    <definedName name="ANLKF8" localSheetId="8">[27]An.BOW!#REF!</definedName>
    <definedName name="ANLKF8" localSheetId="16">[27]An.BOW!#REF!</definedName>
    <definedName name="ANLKF8" localSheetId="9">[27]An.BOW!#REF!</definedName>
    <definedName name="ANLKF8">[27]An.BOW!#REF!</definedName>
    <definedName name="ANLKF8A" localSheetId="7">[27]An.BOW!#REF!</definedName>
    <definedName name="ANLKF8A" localSheetId="8">[27]An.BOW!#REF!</definedName>
    <definedName name="ANLKF8A" localSheetId="16">[27]An.BOW!#REF!</definedName>
    <definedName name="ANLKF8A" localSheetId="9">[27]An.BOW!#REF!</definedName>
    <definedName name="ANLKF8A">[27]An.BOW!#REF!</definedName>
    <definedName name="ANLKG53" localSheetId="7">[27]An.BOW!#REF!</definedName>
    <definedName name="ANLKG53" localSheetId="8">[27]An.BOW!#REF!</definedName>
    <definedName name="ANLKG53" localSheetId="16">[27]An.BOW!#REF!</definedName>
    <definedName name="ANLKG53" localSheetId="9">[27]An.BOW!#REF!</definedName>
    <definedName name="ANLKG53">[27]An.BOW!#REF!</definedName>
    <definedName name="ANLKH10A" localSheetId="7">[27]An.BOW!#REF!</definedName>
    <definedName name="ANLKH10A" localSheetId="8">[27]An.BOW!#REF!</definedName>
    <definedName name="ANLKH10A" localSheetId="16">[27]An.BOW!#REF!</definedName>
    <definedName name="ANLKH10A" localSheetId="9">[27]An.BOW!#REF!</definedName>
    <definedName name="ANLKH10A">[27]An.BOW!#REF!</definedName>
    <definedName name="ANLKK35" localSheetId="7">[27]An.BOW!#REF!</definedName>
    <definedName name="ANLKK35" localSheetId="8">[27]An.BOW!#REF!</definedName>
    <definedName name="ANLKK35" localSheetId="16">[27]An.BOW!#REF!</definedName>
    <definedName name="ANLKK35" localSheetId="9">[27]An.BOW!#REF!</definedName>
    <definedName name="ANLKK35">[27]An.BOW!#REF!</definedName>
    <definedName name="ANLKL11" localSheetId="7">[27]An.BOW!#REF!</definedName>
    <definedName name="ANLKL11" localSheetId="8">[27]An.BOW!#REF!</definedName>
    <definedName name="ANLKL11" localSheetId="16">[27]An.BOW!#REF!</definedName>
    <definedName name="ANLKL11" localSheetId="9">[27]An.BOW!#REF!</definedName>
    <definedName name="ANLKL11">[27]An.BOW!#REF!</definedName>
    <definedName name="ANLKL12" localSheetId="7">[27]An.BOW!#REF!</definedName>
    <definedName name="ANLKL12" localSheetId="8">[27]An.BOW!#REF!</definedName>
    <definedName name="ANLKL12" localSheetId="16">[27]An.BOW!#REF!</definedName>
    <definedName name="ANLKL12" localSheetId="9">[27]An.BOW!#REF!</definedName>
    <definedName name="ANLKL12">[27]An.BOW!#REF!</definedName>
    <definedName name="Anlprs" localSheetId="1">#REF!</definedName>
    <definedName name="Anlprs" localSheetId="7">#REF!</definedName>
    <definedName name="Anlprs" localSheetId="8">#REF!</definedName>
    <definedName name="Anlprs" localSheetId="16">#REF!</definedName>
    <definedName name="Anlprs" localSheetId="9">#REF!</definedName>
    <definedName name="Anlprs">#REF!</definedName>
    <definedName name="AnlSirtu" localSheetId="7">#REF!</definedName>
    <definedName name="AnlSirtu" localSheetId="8">#REF!</definedName>
    <definedName name="AnlSirtu" localSheetId="16">#REF!</definedName>
    <definedName name="AnlSirtu" localSheetId="0">#REF!</definedName>
    <definedName name="AnlSirtu" localSheetId="9">#REF!</definedName>
    <definedName name="AnlSirtu">#REF!</definedName>
    <definedName name="ANLSUPLIXA" localSheetId="7">[27]An.BOW!#REF!</definedName>
    <definedName name="ANLSUPLIXA" localSheetId="8">[27]An.BOW!#REF!</definedName>
    <definedName name="ANLSUPLIXA" localSheetId="16">[27]An.BOW!#REF!</definedName>
    <definedName name="ANLSUPLIXA" localSheetId="9">[27]An.BOW!#REF!</definedName>
    <definedName name="ANLSUPLIXA">[27]An.BOW!#REF!</definedName>
    <definedName name="ANLSUPLIXB" localSheetId="7">[27]An.BOW!#REF!</definedName>
    <definedName name="ANLSUPLIXB" localSheetId="8">[27]An.BOW!#REF!</definedName>
    <definedName name="ANLSUPLIXB" localSheetId="16">[27]An.BOW!#REF!</definedName>
    <definedName name="ANLSUPLIXB" localSheetId="9">[27]An.BOW!#REF!</definedName>
    <definedName name="ANLSUPLIXB">[27]An.BOW!#REF!</definedName>
    <definedName name="Anlurugpasir" localSheetId="1">#REF!</definedName>
    <definedName name="Anlurugpasir" localSheetId="7">#REF!</definedName>
    <definedName name="Anlurugpasir" localSheetId="8">#REF!</definedName>
    <definedName name="Anlurugpasir" localSheetId="16">#REF!</definedName>
    <definedName name="Anlurugpasir" localSheetId="0">#REF!</definedName>
    <definedName name="Anlurugpasir" localSheetId="9">#REF!</definedName>
    <definedName name="Anlurugpasir">#REF!</definedName>
    <definedName name="ap" localSheetId="7">#REF!</definedName>
    <definedName name="ap" localSheetId="8">#REF!</definedName>
    <definedName name="ap" localSheetId="16">#REF!</definedName>
    <definedName name="ap" localSheetId="9">#REF!</definedName>
    <definedName name="ap">#REF!</definedName>
    <definedName name="apakah">'[3]Upah&amp;Bahan'!$C$20</definedName>
    <definedName name="arsitek" localSheetId="1">#REF!</definedName>
    <definedName name="arsitek" localSheetId="7">#REF!</definedName>
    <definedName name="arsitek" localSheetId="8">#REF!</definedName>
    <definedName name="arsitek" localSheetId="16">#REF!</definedName>
    <definedName name="arsitek" localSheetId="0">#REF!</definedName>
    <definedName name="arsitek" localSheetId="9">#REF!</definedName>
    <definedName name="arsitek">#REF!</definedName>
    <definedName name="as" localSheetId="1">[19]MFC!#REF!</definedName>
    <definedName name="as" localSheetId="7">[20]MFC!#REF!</definedName>
    <definedName name="as" localSheetId="8">[20]MFC!#REF!</definedName>
    <definedName name="as" localSheetId="16">[20]MFC!#REF!</definedName>
    <definedName name="as" localSheetId="0">[20]MFC!#REF!</definedName>
    <definedName name="as" localSheetId="9">[20]MFC!#REF!</definedName>
    <definedName name="as">[20]MFC!#REF!</definedName>
    <definedName name="asbak" localSheetId="1">[28]Harga!#REF!</definedName>
    <definedName name="asbak" localSheetId="7">[28]Harga!#REF!</definedName>
    <definedName name="asbak" localSheetId="8">[28]Harga!#REF!</definedName>
    <definedName name="asbak" localSheetId="16">[28]Harga!#REF!</definedName>
    <definedName name="asbak" localSheetId="9">[28]Harga!#REF!</definedName>
    <definedName name="asbak">[28]Harga!#REF!</definedName>
    <definedName name="asbes" localSheetId="1">[29]cover!#REF!</definedName>
    <definedName name="asbes" localSheetId="7">[30]cover!#REF!</definedName>
    <definedName name="asbes" localSheetId="8">[30]cover!#REF!</definedName>
    <definedName name="asbes" localSheetId="16">[30]cover!#REF!</definedName>
    <definedName name="asbes" localSheetId="0">[30]cover!#REF!</definedName>
    <definedName name="asbes" localSheetId="9">[30]cover!#REF!</definedName>
    <definedName name="asbes">[30]cover!#REF!</definedName>
    <definedName name="asgel" localSheetId="7">'[18]harga lama'!#REF!</definedName>
    <definedName name="asgel" localSheetId="8">'[18]harga lama'!#REF!</definedName>
    <definedName name="asgel" localSheetId="16">'[18]harga lama'!#REF!</definedName>
    <definedName name="asgel" localSheetId="9">'[18]harga lama'!#REF!</definedName>
    <definedName name="asgel">'[18]harga lama'!#REF!</definedName>
    <definedName name="asp" localSheetId="1">#REF!</definedName>
    <definedName name="asp" localSheetId="7">#REF!</definedName>
    <definedName name="asp" localSheetId="8">#REF!</definedName>
    <definedName name="asp" localSheetId="16">#REF!</definedName>
    <definedName name="asp" localSheetId="9">#REF!</definedName>
    <definedName name="asp">#REF!</definedName>
    <definedName name="aspal" localSheetId="1">#REF!</definedName>
    <definedName name="aspal" localSheetId="7">#REF!</definedName>
    <definedName name="aspal" localSheetId="8">#REF!</definedName>
    <definedName name="aspal" localSheetId="16">#REF!</definedName>
    <definedName name="aspal" localSheetId="0">#REF!</definedName>
    <definedName name="aspal" localSheetId="9">#REF!</definedName>
    <definedName name="aspal">#REF!</definedName>
    <definedName name="ASPALSPRAYER611" localSheetId="7">#REF!</definedName>
    <definedName name="ASPALSPRAYER611" localSheetId="8">#REF!</definedName>
    <definedName name="ASPALSPRAYER611" localSheetId="16">#REF!</definedName>
    <definedName name="ASPALSPRAYER611" localSheetId="9">#REF!</definedName>
    <definedName name="ASPALSPRAYER611">#REF!</definedName>
    <definedName name="ASPALSPRAYER819" localSheetId="7">#REF!</definedName>
    <definedName name="ASPALSPRAYER819" localSheetId="8">#REF!</definedName>
    <definedName name="ASPALSPRAYER819" localSheetId="16">#REF!</definedName>
    <definedName name="ASPALSPRAYER819" localSheetId="9">#REF!</definedName>
    <definedName name="ASPALSPRAYER819">#REF!</definedName>
    <definedName name="Asphalt" localSheetId="7">'[18]harga lama'!#REF!</definedName>
    <definedName name="Asphalt" localSheetId="8">'[18]harga lama'!#REF!</definedName>
    <definedName name="Asphalt" localSheetId="16">'[18]harga lama'!#REF!</definedName>
    <definedName name="Asphalt" localSheetId="9">'[18]harga lama'!#REF!</definedName>
    <definedName name="Asphalt">'[18]harga lama'!#REF!</definedName>
    <definedName name="ataoon" localSheetId="7">[28]Harga!#REF!</definedName>
    <definedName name="ataoon" localSheetId="8">[28]Harga!#REF!</definedName>
    <definedName name="ataoon" localSheetId="16">[28]Harga!#REF!</definedName>
    <definedName name="ataoon" localSheetId="9">[28]Harga!#REF!</definedName>
    <definedName name="ataoon">[28]Harga!#REF!</definedName>
    <definedName name="ataponduline" localSheetId="1">[29]cover!#REF!</definedName>
    <definedName name="ataponduline" localSheetId="7">[30]cover!#REF!</definedName>
    <definedName name="ataponduline" localSheetId="8">[30]cover!#REF!</definedName>
    <definedName name="ataponduline" localSheetId="16">[30]cover!#REF!</definedName>
    <definedName name="ataponduline" localSheetId="0">[30]cover!#REF!</definedName>
    <definedName name="ataponduline" localSheetId="9">[30]cover!#REF!</definedName>
    <definedName name="ataponduline">[30]cover!#REF!</definedName>
    <definedName name="ATB" localSheetId="1">#REF!</definedName>
    <definedName name="ATB" localSheetId="7">#REF!</definedName>
    <definedName name="ATB" localSheetId="8">#REF!</definedName>
    <definedName name="ATB" localSheetId="16">#REF!</definedName>
    <definedName name="ATB" localSheetId="9">#REF!</definedName>
    <definedName name="ATB">#REF!</definedName>
    <definedName name="atc" localSheetId="7">#REF!</definedName>
    <definedName name="atc" localSheetId="8">#REF!</definedName>
    <definedName name="atc" localSheetId="16">#REF!</definedName>
    <definedName name="atc" localSheetId="9">#REF!</definedName>
    <definedName name="atc">#REF!</definedName>
    <definedName name="audy" localSheetId="7">'[3]Kuantitas &amp; Harga'!#REF!</definedName>
    <definedName name="audy" localSheetId="8">'[3]Kuantitas &amp; Harga'!#REF!</definedName>
    <definedName name="audy" localSheetId="16">'[3]Kuantitas &amp; Harga'!#REF!</definedName>
    <definedName name="audy" localSheetId="9">'[3]Kuantitas &amp; Harga'!#REF!</definedName>
    <definedName name="audy">'[3]Kuantitas &amp; Harga'!#REF!</definedName>
    <definedName name="B" localSheetId="1" hidden="1">#REF!</definedName>
    <definedName name="B" localSheetId="7" hidden="1">#REF!</definedName>
    <definedName name="B" localSheetId="8" hidden="1">#REF!</definedName>
    <definedName name="B" localSheetId="16" hidden="1">#REF!</definedName>
    <definedName name="B" localSheetId="0" hidden="1">#REF!</definedName>
    <definedName name="B" localSheetId="9" hidden="1">#REF!</definedName>
    <definedName name="B" hidden="1">#REF!</definedName>
    <definedName name="B." localSheetId="7">#REF!</definedName>
    <definedName name="B." localSheetId="8">#REF!</definedName>
    <definedName name="B." localSheetId="16">#REF!</definedName>
    <definedName name="B." localSheetId="9">#REF!</definedName>
    <definedName name="B.">#REF!</definedName>
    <definedName name="b.1001">[1]ANGKUT!$H$24</definedName>
    <definedName name="b.109" localSheetId="1">#REF!</definedName>
    <definedName name="b.109" localSheetId="7">#REF!</definedName>
    <definedName name="b.109" localSheetId="8">#REF!</definedName>
    <definedName name="b.109" localSheetId="16">#REF!</definedName>
    <definedName name="b.109" localSheetId="9">#REF!</definedName>
    <definedName name="b.109">#REF!</definedName>
    <definedName name="b.11">[1]ANGKUT!$H$15</definedName>
    <definedName name="b.19" localSheetId="1">#REF!</definedName>
    <definedName name="b.19" localSheetId="7">#REF!</definedName>
    <definedName name="b.19" localSheetId="8">#REF!</definedName>
    <definedName name="b.19" localSheetId="16">#REF!</definedName>
    <definedName name="b.19" localSheetId="9">#REF!</definedName>
    <definedName name="b.19">#REF!</definedName>
    <definedName name="b.22">[1]ANGKUT!$H$16</definedName>
    <definedName name="b.29" localSheetId="1">#REF!</definedName>
    <definedName name="b.29" localSheetId="7">#REF!</definedName>
    <definedName name="b.29" localSheetId="8">#REF!</definedName>
    <definedName name="b.29" localSheetId="16">#REF!</definedName>
    <definedName name="b.29" localSheetId="9">#REF!</definedName>
    <definedName name="b.29">#REF!</definedName>
    <definedName name="b.31">[1]ANGKUT!$H$17</definedName>
    <definedName name="b.39" localSheetId="1">#REF!</definedName>
    <definedName name="b.39" localSheetId="7">#REF!</definedName>
    <definedName name="b.39" localSheetId="8">#REF!</definedName>
    <definedName name="b.39" localSheetId="16">#REF!</definedName>
    <definedName name="b.39" localSheetId="9">#REF!</definedName>
    <definedName name="b.39">#REF!</definedName>
    <definedName name="b.41">[1]ANGKUT!$H$18</definedName>
    <definedName name="b.49" localSheetId="1">#REF!</definedName>
    <definedName name="b.49" localSheetId="7">#REF!</definedName>
    <definedName name="b.49" localSheetId="8">#REF!</definedName>
    <definedName name="b.49" localSheetId="16">#REF!</definedName>
    <definedName name="b.49" localSheetId="9">#REF!</definedName>
    <definedName name="b.49">#REF!</definedName>
    <definedName name="b.51">[1]ANGKUT!$H$19</definedName>
    <definedName name="b.59" localSheetId="1">#REF!</definedName>
    <definedName name="b.59" localSheetId="7">#REF!</definedName>
    <definedName name="b.59" localSheetId="8">#REF!</definedName>
    <definedName name="b.59" localSheetId="16">#REF!</definedName>
    <definedName name="b.59" localSheetId="9">#REF!</definedName>
    <definedName name="b.59">#REF!</definedName>
    <definedName name="b.61">[1]ANGKUT!$H$20</definedName>
    <definedName name="b.69" localSheetId="1">#REF!</definedName>
    <definedName name="b.69" localSheetId="7">#REF!</definedName>
    <definedName name="b.69" localSheetId="8">#REF!</definedName>
    <definedName name="b.69" localSheetId="16">#REF!</definedName>
    <definedName name="b.69" localSheetId="9">#REF!</definedName>
    <definedName name="b.69">#REF!</definedName>
    <definedName name="b.71">[1]ANGKUT!$H$21</definedName>
    <definedName name="b.79" localSheetId="1">#REF!</definedName>
    <definedName name="b.79" localSheetId="7">#REF!</definedName>
    <definedName name="b.79" localSheetId="8">#REF!</definedName>
    <definedName name="b.79" localSheetId="16">#REF!</definedName>
    <definedName name="b.79" localSheetId="9">#REF!</definedName>
    <definedName name="b.79">#REF!</definedName>
    <definedName name="b.81">[1]ANGKUT!$H$22</definedName>
    <definedName name="b.89" localSheetId="1">#REF!</definedName>
    <definedName name="b.89" localSheetId="7">#REF!</definedName>
    <definedName name="b.89" localSheetId="8">#REF!</definedName>
    <definedName name="b.89" localSheetId="16">#REF!</definedName>
    <definedName name="b.89" localSheetId="9">#REF!</definedName>
    <definedName name="b.89">#REF!</definedName>
    <definedName name="b.91">[1]ANGKUT!$H$23</definedName>
    <definedName name="b.99" localSheetId="1">#REF!</definedName>
    <definedName name="b.99" localSheetId="7">#REF!</definedName>
    <definedName name="b.99" localSheetId="8">#REF!</definedName>
    <definedName name="b.99" localSheetId="16">#REF!</definedName>
    <definedName name="b.99" localSheetId="9">#REF!</definedName>
    <definedName name="b.99">#REF!</definedName>
    <definedName name="b.belah" localSheetId="7">#REF!</definedName>
    <definedName name="b.belah" localSheetId="8">#REF!</definedName>
    <definedName name="b.belah" localSheetId="16">#REF!</definedName>
    <definedName name="b.belah" localSheetId="9">#REF!</definedName>
    <definedName name="b.belah">#REF!</definedName>
    <definedName name="B.Jambi" localSheetId="7">#REF!</definedName>
    <definedName name="B.Jambi" localSheetId="8">#REF!</definedName>
    <definedName name="B.Jambi" localSheetId="16">#REF!</definedName>
    <definedName name="B.Jambi" localSheetId="9">#REF!</definedName>
    <definedName name="B.Jambi">#REF!</definedName>
    <definedName name="b.super.5.10" localSheetId="7">#REF!</definedName>
    <definedName name="b.super.5.10" localSheetId="8">#REF!</definedName>
    <definedName name="b.super.5.10" localSheetId="16">#REF!</definedName>
    <definedName name="b.super.5.10" localSheetId="9">#REF!</definedName>
    <definedName name="b.super.5.10">#REF!</definedName>
    <definedName name="b1000l" localSheetId="7">'[31]DU&amp;B'!#REF!</definedName>
    <definedName name="b1000l" localSheetId="8">'[31]DU&amp;B'!#REF!</definedName>
    <definedName name="b1000l" localSheetId="16">'[31]DU&amp;B'!#REF!</definedName>
    <definedName name="b1000l" localSheetId="9">'[31]DU&amp;B'!#REF!</definedName>
    <definedName name="b1000l">'[31]DU&amp;B'!#REF!</definedName>
    <definedName name="b1000lh" localSheetId="7">'[31]DU&amp;B'!#REF!</definedName>
    <definedName name="b1000lh" localSheetId="8">'[31]DU&amp;B'!#REF!</definedName>
    <definedName name="b1000lh" localSheetId="16">'[31]DU&amp;B'!#REF!</definedName>
    <definedName name="b1000lh" localSheetId="9">'[31]DU&amp;B'!#REF!</definedName>
    <definedName name="b1000lh">'[31]DU&amp;B'!#REF!</definedName>
    <definedName name="b1000u" localSheetId="7">'[31]DU&amp;B'!#REF!</definedName>
    <definedName name="b1000u" localSheetId="8">'[31]DU&amp;B'!#REF!</definedName>
    <definedName name="b1000u" localSheetId="16">'[31]DU&amp;B'!#REF!</definedName>
    <definedName name="b1000u" localSheetId="9">'[31]DU&amp;B'!#REF!</definedName>
    <definedName name="b1000u">'[31]DU&amp;B'!#REF!</definedName>
    <definedName name="b10u" localSheetId="7">'[31]DU&amp;B'!#REF!</definedName>
    <definedName name="b10u" localSheetId="8">'[31]DU&amp;B'!#REF!</definedName>
    <definedName name="b10u" localSheetId="16">'[31]DU&amp;B'!#REF!</definedName>
    <definedName name="b10u" localSheetId="9">'[31]DU&amp;B'!#REF!</definedName>
    <definedName name="b10u">'[31]DU&amp;B'!#REF!</definedName>
    <definedName name="b250u" localSheetId="7">'[31]DU&amp;B'!#REF!</definedName>
    <definedName name="b250u" localSheetId="8">'[31]DU&amp;B'!#REF!</definedName>
    <definedName name="b250u" localSheetId="16">'[31]DU&amp;B'!#REF!</definedName>
    <definedName name="b250u" localSheetId="9">'[31]DU&amp;B'!#REF!</definedName>
    <definedName name="b250u">'[31]DU&amp;B'!#REF!</definedName>
    <definedName name="b5l" localSheetId="7">'[31]DU&amp;B'!#REF!</definedName>
    <definedName name="b5l" localSheetId="8">'[31]DU&amp;B'!#REF!</definedName>
    <definedName name="b5l" localSheetId="16">'[31]DU&amp;B'!#REF!</definedName>
    <definedName name="b5l" localSheetId="9">'[31]DU&amp;B'!#REF!</definedName>
    <definedName name="b5l">'[31]DU&amp;B'!#REF!</definedName>
    <definedName name="b5lh" localSheetId="7">'[31]DU&amp;B'!#REF!</definedName>
    <definedName name="b5lh" localSheetId="8">'[31]DU&amp;B'!#REF!</definedName>
    <definedName name="b5lh" localSheetId="16">'[31]DU&amp;B'!#REF!</definedName>
    <definedName name="b5lh" localSheetId="9">'[31]DU&amp;B'!#REF!</definedName>
    <definedName name="b5lh">'[31]DU&amp;B'!#REF!</definedName>
    <definedName name="BACK_HOE" localSheetId="7">[32]Rab!#REF!</definedName>
    <definedName name="BACK_HOE" localSheetId="8">[32]Rab!#REF!</definedName>
    <definedName name="BACK_HOE" localSheetId="16">[32]Rab!#REF!</definedName>
    <definedName name="BACK_HOE" localSheetId="9">[32]Rab!#REF!</definedName>
    <definedName name="BACK_HOE">[32]Rab!#REF!</definedName>
    <definedName name="backhoe" localSheetId="1">#REF!</definedName>
    <definedName name="backhoe" localSheetId="7">#REF!</definedName>
    <definedName name="backhoe" localSheetId="8">#REF!</definedName>
    <definedName name="backhoe" localSheetId="16">#REF!</definedName>
    <definedName name="backhoe" localSheetId="0">#REF!</definedName>
    <definedName name="backhoe" localSheetId="9">#REF!</definedName>
    <definedName name="backhoe">#REF!</definedName>
    <definedName name="bagaiman">'[3]Upah&amp;Bahan'!$C$23</definedName>
    <definedName name="BAHAN321" localSheetId="1">#REF!</definedName>
    <definedName name="BAHAN321" localSheetId="7">#REF!</definedName>
    <definedName name="BAHAN321" localSheetId="8">#REF!</definedName>
    <definedName name="BAHAN321" localSheetId="16">#REF!</definedName>
    <definedName name="BAHAN321" localSheetId="9">#REF!</definedName>
    <definedName name="BAHAN321">#REF!</definedName>
    <definedName name="BAHAN511A" localSheetId="7">#REF!</definedName>
    <definedName name="BAHAN511A" localSheetId="8">#REF!</definedName>
    <definedName name="BAHAN511A" localSheetId="16">#REF!</definedName>
    <definedName name="BAHAN511A" localSheetId="9">#REF!</definedName>
    <definedName name="BAHAN511A">#REF!</definedName>
    <definedName name="BAHAN512A" localSheetId="7">#REF!</definedName>
    <definedName name="BAHAN512A" localSheetId="8">#REF!</definedName>
    <definedName name="BAHAN512A" localSheetId="16">#REF!</definedName>
    <definedName name="BAHAN512A" localSheetId="9">#REF!</definedName>
    <definedName name="BAHAN512A">#REF!</definedName>
    <definedName name="BAHAN521" localSheetId="7">#REF!</definedName>
    <definedName name="BAHAN521" localSheetId="8">#REF!</definedName>
    <definedName name="BAHAN521" localSheetId="16">#REF!</definedName>
    <definedName name="BAHAN521" localSheetId="9">#REF!</definedName>
    <definedName name="BAHAN521">#REF!</definedName>
    <definedName name="BAHAN611A" localSheetId="7">#REF!</definedName>
    <definedName name="BAHAN611A" localSheetId="8">#REF!</definedName>
    <definedName name="BAHAN611A" localSheetId="16">#REF!</definedName>
    <definedName name="BAHAN611A" localSheetId="9">#REF!</definedName>
    <definedName name="BAHAN611A">#REF!</definedName>
    <definedName name="BAHAN611B" localSheetId="7">#REF!</definedName>
    <definedName name="BAHAN611B" localSheetId="8">#REF!</definedName>
    <definedName name="BAHAN611B" localSheetId="16">#REF!</definedName>
    <definedName name="BAHAN611B" localSheetId="9">#REF!</definedName>
    <definedName name="BAHAN611B">#REF!</definedName>
    <definedName name="BAHAN74A" localSheetId="7">#REF!</definedName>
    <definedName name="BAHAN74A" localSheetId="8">#REF!</definedName>
    <definedName name="BAHAN74A" localSheetId="16">#REF!</definedName>
    <definedName name="BAHAN74A" localSheetId="9">#REF!</definedName>
    <definedName name="BAHAN74A">#REF!</definedName>
    <definedName name="BAHAN74B" localSheetId="7">#REF!</definedName>
    <definedName name="BAHAN74B" localSheetId="8">#REF!</definedName>
    <definedName name="BAHAN74B" localSheetId="16">#REF!</definedName>
    <definedName name="BAHAN74B" localSheetId="9">#REF!</definedName>
    <definedName name="BAHAN74B">#REF!</definedName>
    <definedName name="BAHAN74C" localSheetId="7">#REF!</definedName>
    <definedName name="BAHAN74C" localSheetId="8">#REF!</definedName>
    <definedName name="BAHAN74C" localSheetId="16">#REF!</definedName>
    <definedName name="BAHAN74C" localSheetId="9">#REF!</definedName>
    <definedName name="BAHAN74C">#REF!</definedName>
    <definedName name="BAHAN753A" localSheetId="7">#REF!</definedName>
    <definedName name="BAHAN753A" localSheetId="8">#REF!</definedName>
    <definedName name="BAHAN753A" localSheetId="16">#REF!</definedName>
    <definedName name="BAHAN753A" localSheetId="9">#REF!</definedName>
    <definedName name="BAHAN753A">#REF!</definedName>
    <definedName name="BAHAN753B" localSheetId="7">#REF!</definedName>
    <definedName name="BAHAN753B" localSheetId="8">#REF!</definedName>
    <definedName name="BAHAN753B" localSheetId="16">#REF!</definedName>
    <definedName name="BAHAN753B" localSheetId="9">#REF!</definedName>
    <definedName name="BAHAN753B">#REF!</definedName>
    <definedName name="BAHAN818A" localSheetId="7">#REF!</definedName>
    <definedName name="BAHAN818A" localSheetId="8">#REF!</definedName>
    <definedName name="BAHAN818A" localSheetId="16">#REF!</definedName>
    <definedName name="BAHAN818A" localSheetId="9">#REF!</definedName>
    <definedName name="BAHAN818A">#REF!</definedName>
    <definedName name="BAHAN818B" localSheetId="7">#REF!</definedName>
    <definedName name="BAHAN818B" localSheetId="8">#REF!</definedName>
    <definedName name="BAHAN818B" localSheetId="16">#REF!</definedName>
    <definedName name="BAHAN818B" localSheetId="9">#REF!</definedName>
    <definedName name="BAHAN818B">#REF!</definedName>
    <definedName name="BAHAN819A" localSheetId="7">#REF!</definedName>
    <definedName name="BAHAN819A" localSheetId="8">#REF!</definedName>
    <definedName name="BAHAN819A" localSheetId="16">#REF!</definedName>
    <definedName name="BAHAN819A" localSheetId="9">#REF!</definedName>
    <definedName name="BAHAN819A">#REF!</definedName>
    <definedName name="BAHU">'[7]Kuantitas &amp; Harga'!$A$87:$H$101</definedName>
    <definedName name="baja" localSheetId="1">#REF!</definedName>
    <definedName name="baja" localSheetId="7">#REF!</definedName>
    <definedName name="baja" localSheetId="8">#REF!</definedName>
    <definedName name="baja" localSheetId="16">#REF!</definedName>
    <definedName name="baja" localSheetId="0">#REF!</definedName>
    <definedName name="baja" localSheetId="9">#REF!</definedName>
    <definedName name="baja">#REF!</definedName>
    <definedName name="bajaprofil" localSheetId="1">'[18]harga lama'!#REF!</definedName>
    <definedName name="bajaprofil" localSheetId="7">'[18]harga lama'!#REF!</definedName>
    <definedName name="bajaprofil" localSheetId="8">'[18]harga lama'!#REF!</definedName>
    <definedName name="bajaprofil" localSheetId="16">'[18]harga lama'!#REF!</definedName>
    <definedName name="bajaprofil" localSheetId="9">'[18]harga lama'!#REF!</definedName>
    <definedName name="bajaprofil">'[18]harga lama'!#REF!</definedName>
    <definedName name="Balok" localSheetId="1">#REF!</definedName>
    <definedName name="Balok" localSheetId="7">#REF!</definedName>
    <definedName name="Balok" localSheetId="8">#REF!</definedName>
    <definedName name="Balok" localSheetId="16">#REF!</definedName>
    <definedName name="Balok" localSheetId="0">#REF!</definedName>
    <definedName name="Balok" localSheetId="9">#REF!</definedName>
    <definedName name="Balok">#REF!</definedName>
    <definedName name="Balok1" localSheetId="1">[23]ANALISA!#REF!</definedName>
    <definedName name="Balok1" localSheetId="7">[23]ANALISA!#REF!</definedName>
    <definedName name="Balok1" localSheetId="8">[23]ANALISA!#REF!</definedName>
    <definedName name="Balok1" localSheetId="16">[23]ANALISA!#REF!</definedName>
    <definedName name="Balok1" localSheetId="9">[23]ANALISA!#REF!</definedName>
    <definedName name="Balok1">[23]ANALISA!#REF!</definedName>
    <definedName name="Balok2" localSheetId="1">[23]ANALISA!#REF!</definedName>
    <definedName name="Balok2" localSheetId="7">[23]ANALISA!#REF!</definedName>
    <definedName name="Balok2" localSheetId="8">[23]ANALISA!#REF!</definedName>
    <definedName name="Balok2" localSheetId="16">[23]ANALISA!#REF!</definedName>
    <definedName name="Balok2" localSheetId="9">[23]ANALISA!#REF!</definedName>
    <definedName name="Balok2">[23]ANALISA!#REF!</definedName>
    <definedName name="Balok3" localSheetId="7">[23]ANALISA!#REF!</definedName>
    <definedName name="Balok3" localSheetId="8">[23]ANALISA!#REF!</definedName>
    <definedName name="Balok3" localSheetId="16">[23]ANALISA!#REF!</definedName>
    <definedName name="Balok3" localSheetId="9">[23]ANALISA!#REF!</definedName>
    <definedName name="Balok3">[23]ANALISA!#REF!</definedName>
    <definedName name="Baloka" localSheetId="7">[23]ANALISA!#REF!</definedName>
    <definedName name="Baloka" localSheetId="8">[23]ANALISA!#REF!</definedName>
    <definedName name="Baloka" localSheetId="16">[23]ANALISA!#REF!</definedName>
    <definedName name="Baloka" localSheetId="9">[23]ANALISA!#REF!</definedName>
    <definedName name="Baloka">[23]ANALISA!#REF!</definedName>
    <definedName name="baloklantaiI" localSheetId="1">[33]Analisis!#REF!</definedName>
    <definedName name="baloklantaiI" localSheetId="7">[34]Analisis!#REF!</definedName>
    <definedName name="baloklantaiI" localSheetId="8">[34]Analisis!#REF!</definedName>
    <definedName name="baloklantaiI" localSheetId="16">[34]Analisis!#REF!</definedName>
    <definedName name="baloklantaiI" localSheetId="0">[34]Analisis!#REF!</definedName>
    <definedName name="baloklantaiI" localSheetId="9">[34]Analisis!#REF!</definedName>
    <definedName name="baloklantaiI">[34]Analisis!#REF!</definedName>
    <definedName name="baloklantaiII" localSheetId="1">[33]Analisis!#REF!</definedName>
    <definedName name="baloklantaiII" localSheetId="7">[34]Analisis!#REF!</definedName>
    <definedName name="baloklantaiII" localSheetId="8">[34]Analisis!#REF!</definedName>
    <definedName name="baloklantaiII" localSheetId="16">[34]Analisis!#REF!</definedName>
    <definedName name="baloklantaiII" localSheetId="0">[34]Analisis!#REF!</definedName>
    <definedName name="baloklantaiII" localSheetId="9">[34]Analisis!#REF!</definedName>
    <definedName name="baloklantaiII">[34]Analisis!#REF!</definedName>
    <definedName name="baloklantaik" localSheetId="1">#REF!</definedName>
    <definedName name="baloklantaik" localSheetId="7">#REF!</definedName>
    <definedName name="baloklantaik" localSheetId="8">#REF!</definedName>
    <definedName name="baloklantaik" localSheetId="16">#REF!</definedName>
    <definedName name="baloklantaik" localSheetId="9">#REF!</definedName>
    <definedName name="baloklantaik">#REF!</definedName>
    <definedName name="Baloksopi2" localSheetId="1">[23]ANALISA!#REF!</definedName>
    <definedName name="Baloksopi2" localSheetId="7">[23]ANALISA!#REF!</definedName>
    <definedName name="Baloksopi2" localSheetId="8">[23]ANALISA!#REF!</definedName>
    <definedName name="Baloksopi2" localSheetId="16">[23]ANALISA!#REF!</definedName>
    <definedName name="Baloksopi2" localSheetId="9">[23]ANALISA!#REF!</definedName>
    <definedName name="Baloksopi2">[23]ANALISA!#REF!</definedName>
    <definedName name="Balokteras" localSheetId="7">[23]ANALISA!#REF!</definedName>
    <definedName name="Balokteras" localSheetId="8">[23]ANALISA!#REF!</definedName>
    <definedName name="Balokteras" localSheetId="16">[23]ANALISA!#REF!</definedName>
    <definedName name="Balokteras" localSheetId="9">[23]ANALISA!#REF!</definedName>
    <definedName name="Balokteras">[23]ANALISA!#REF!</definedName>
    <definedName name="bantu" localSheetId="1">#REF!</definedName>
    <definedName name="bantu" localSheetId="7">#REF!</definedName>
    <definedName name="bantu" localSheetId="8">#REF!</definedName>
    <definedName name="bantu" localSheetId="16">#REF!</definedName>
    <definedName name="bantu" localSheetId="0">#REF!</definedName>
    <definedName name="bantu" localSheetId="9">#REF!</definedName>
    <definedName name="bantu">#REF!</definedName>
    <definedName name="Basibeton" localSheetId="1">[6]UPAH!#REF!</definedName>
    <definedName name="Basibeton" localSheetId="7">[6]UPAH!#REF!</definedName>
    <definedName name="Basibeton" localSheetId="8">[6]UPAH!#REF!</definedName>
    <definedName name="Basibeton" localSheetId="16">[6]UPAH!#REF!</definedName>
    <definedName name="Basibeton" localSheetId="9">[6]UPAH!#REF!</definedName>
    <definedName name="Basibeton">[6]UPAH!#REF!</definedName>
    <definedName name="bata" localSheetId="1">#REF!</definedName>
    <definedName name="bata" localSheetId="7">#REF!</definedName>
    <definedName name="bata" localSheetId="8">#REF!</definedName>
    <definedName name="bata" localSheetId="16">#REF!</definedName>
    <definedName name="bata" localSheetId="9">#REF!</definedName>
    <definedName name="bata">#REF!</definedName>
    <definedName name="bata12" localSheetId="7">#REF!</definedName>
    <definedName name="bata12" localSheetId="8">#REF!</definedName>
    <definedName name="bata12" localSheetId="16">#REF!</definedName>
    <definedName name="bata12" localSheetId="9">#REF!</definedName>
    <definedName name="bata12">#REF!</definedName>
    <definedName name="bata14" localSheetId="7">#REF!</definedName>
    <definedName name="bata14" localSheetId="8">#REF!</definedName>
    <definedName name="bata14" localSheetId="16">#REF!</definedName>
    <definedName name="bata14" localSheetId="9">#REF!</definedName>
    <definedName name="bata14">#REF!</definedName>
    <definedName name="batu" localSheetId="7">#REF!</definedName>
    <definedName name="batu" localSheetId="8">#REF!</definedName>
    <definedName name="batu" localSheetId="16">#REF!</definedName>
    <definedName name="batu" localSheetId="0">#REF!</definedName>
    <definedName name="batu" localSheetId="9">#REF!</definedName>
    <definedName name="batu">#REF!</definedName>
    <definedName name="batu.jogja" localSheetId="7">#REF!</definedName>
    <definedName name="batu.jogja" localSheetId="8">#REF!</definedName>
    <definedName name="batu.jogja" localSheetId="16">#REF!</definedName>
    <definedName name="batu.jogja" localSheetId="9">#REF!</definedName>
    <definedName name="batu.jogja">#REF!</definedName>
    <definedName name="batu10" localSheetId="7">[31]Analisa!#REF!</definedName>
    <definedName name="batu10" localSheetId="8">[31]Analisa!#REF!</definedName>
    <definedName name="batu10" localSheetId="16">[31]Analisa!#REF!</definedName>
    <definedName name="batu10" localSheetId="9">[31]Analisa!#REF!</definedName>
    <definedName name="batu10">[31]Analisa!#REF!</definedName>
    <definedName name="batu1000" localSheetId="7">'[31]DU&amp;B'!#REF!</definedName>
    <definedName name="batu1000" localSheetId="8">'[31]DU&amp;B'!#REF!</definedName>
    <definedName name="batu1000" localSheetId="16">'[31]DU&amp;B'!#REF!</definedName>
    <definedName name="batu1000" localSheetId="9">'[31]DU&amp;B'!#REF!</definedName>
    <definedName name="batu1000">'[31]DU&amp;B'!#REF!</definedName>
    <definedName name="batu15" localSheetId="7">'[18]harga lama'!#REF!</definedName>
    <definedName name="batu15" localSheetId="8">'[18]harga lama'!#REF!</definedName>
    <definedName name="batu15" localSheetId="16">'[18]harga lama'!#REF!</definedName>
    <definedName name="batu15" localSheetId="9">'[18]harga lama'!#REF!</definedName>
    <definedName name="batu15">'[18]harga lama'!#REF!</definedName>
    <definedName name="batu1500" localSheetId="7">[31]Analisa!#REF!</definedName>
    <definedName name="batu1500" localSheetId="8">[31]Analisa!#REF!</definedName>
    <definedName name="batu1500" localSheetId="16">[31]Analisa!#REF!</definedName>
    <definedName name="batu1500" localSheetId="9">[31]Analisa!#REF!</definedName>
    <definedName name="batu1500">[31]Analisa!#REF!</definedName>
    <definedName name="batu15kg" localSheetId="7">'[18]harga lama'!#REF!</definedName>
    <definedName name="batu15kg" localSheetId="8">'[18]harga lama'!#REF!</definedName>
    <definedName name="batu15kg" localSheetId="16">'[18]harga lama'!#REF!</definedName>
    <definedName name="batu15kg" localSheetId="9">'[18]harga lama'!#REF!</definedName>
    <definedName name="batu15kg">'[18]harga lama'!#REF!</definedName>
    <definedName name="batu20" localSheetId="7">'[18]harga lama'!#REF!</definedName>
    <definedName name="batu20" localSheetId="8">'[18]harga lama'!#REF!</definedName>
    <definedName name="batu20" localSheetId="16">'[18]harga lama'!#REF!</definedName>
    <definedName name="batu20" localSheetId="9">'[18]harga lama'!#REF!</definedName>
    <definedName name="batu20">'[18]harga lama'!#REF!</definedName>
    <definedName name="batu23" localSheetId="7">'[18]harga lama'!#REF!</definedName>
    <definedName name="batu23" localSheetId="8">'[18]harga lama'!#REF!</definedName>
    <definedName name="batu23" localSheetId="16">'[18]harga lama'!#REF!</definedName>
    <definedName name="batu23" localSheetId="9">'[18]harga lama'!#REF!</definedName>
    <definedName name="batu23">'[18]harga lama'!#REF!</definedName>
    <definedName name="batu40kg" localSheetId="7">'[18]harga lama'!#REF!</definedName>
    <definedName name="batu40kg" localSheetId="8">'[18]harga lama'!#REF!</definedName>
    <definedName name="batu40kg" localSheetId="16">'[18]harga lama'!#REF!</definedName>
    <definedName name="batu40kg" localSheetId="9">'[18]harga lama'!#REF!</definedName>
    <definedName name="batu40kg">'[18]harga lama'!#REF!</definedName>
    <definedName name="batu5" localSheetId="7">'[31]DU&amp;B'!#REF!</definedName>
    <definedName name="batu5" localSheetId="8">'[31]DU&amp;B'!#REF!</definedName>
    <definedName name="batu5" localSheetId="16">'[31]DU&amp;B'!#REF!</definedName>
    <definedName name="batu5" localSheetId="9">'[31]DU&amp;B'!#REF!</definedName>
    <definedName name="batu5">'[31]DU&amp;B'!#REF!</definedName>
    <definedName name="batu57" localSheetId="7">'[18]harga lama'!#REF!</definedName>
    <definedName name="batu57" localSheetId="8">'[18]harga lama'!#REF!</definedName>
    <definedName name="batu57" localSheetId="16">'[18]harga lama'!#REF!</definedName>
    <definedName name="batu57" localSheetId="9">'[18]harga lama'!#REF!</definedName>
    <definedName name="batu57">'[18]harga lama'!#REF!</definedName>
    <definedName name="Batubata">[35]UPAH!$D$22</definedName>
    <definedName name="BATUBELAH" localSheetId="1">#REF!</definedName>
    <definedName name="BATUBELAH" localSheetId="7">#REF!</definedName>
    <definedName name="BATUBELAH" localSheetId="8">#REF!</definedName>
    <definedName name="BATUBELAH" localSheetId="16">#REF!</definedName>
    <definedName name="BATUBELAH" localSheetId="9">#REF!</definedName>
    <definedName name="BATUBELAH">#REF!</definedName>
    <definedName name="BATUKALI" localSheetId="7">#REF!</definedName>
    <definedName name="BATUKALI" localSheetId="8">#REF!</definedName>
    <definedName name="BATUKALI" localSheetId="16">#REF!</definedName>
    <definedName name="BATUKALI" localSheetId="9">#REF!</definedName>
    <definedName name="BATUKALI">#REF!</definedName>
    <definedName name="batukosong" localSheetId="1">[33]Analisis!#REF!</definedName>
    <definedName name="batukosong" localSheetId="7">[34]Analisis!#REF!</definedName>
    <definedName name="batukosong" localSheetId="8">[34]Analisis!#REF!</definedName>
    <definedName name="batukosong" localSheetId="16">[34]Analisis!#REF!</definedName>
    <definedName name="batukosong" localSheetId="0">[34]Analisis!#REF!</definedName>
    <definedName name="batukosong" localSheetId="9">[34]Analisis!#REF!</definedName>
    <definedName name="batukosong">[34]Analisis!#REF!</definedName>
    <definedName name="batupecah" localSheetId="7">'[18]harga lama'!#REF!</definedName>
    <definedName name="batupecah" localSheetId="8">'[18]harga lama'!#REF!</definedName>
    <definedName name="batupecah" localSheetId="16">'[18]harga lama'!#REF!</definedName>
    <definedName name="batupecah" localSheetId="9">'[18]harga lama'!#REF!</definedName>
    <definedName name="batupecah">'[18]harga lama'!#REF!</definedName>
    <definedName name="batusaring" localSheetId="1">#REF!</definedName>
    <definedName name="batusaring" localSheetId="7">#REF!</definedName>
    <definedName name="batusaring" localSheetId="8">#REF!</definedName>
    <definedName name="batusaring" localSheetId="16">#REF!</definedName>
    <definedName name="batusaring" localSheetId="0">#REF!</definedName>
    <definedName name="batusaring" localSheetId="9">#REF!</definedName>
    <definedName name="batusaring">#REF!</definedName>
    <definedName name="bb">'[36]DU&amp;B'!$F$27</definedName>
    <definedName name="bbet" localSheetId="4">'[37]DU&amp;B'!#REF!</definedName>
    <definedName name="bbet" localSheetId="1">'[37]DU&amp;B'!#REF!</definedName>
    <definedName name="bbet" localSheetId="7">'[37]DU&amp;B'!#REF!</definedName>
    <definedName name="bbet" localSheetId="8">'[37]DU&amp;B'!#REF!</definedName>
    <definedName name="bbet" localSheetId="16">'[37]DU&amp;B'!#REF!</definedName>
    <definedName name="bbet" localSheetId="9">'[37]DU&amp;B'!#REF!</definedName>
    <definedName name="bbet">'[37]DU&amp;B'!#REF!</definedName>
    <definedName name="bc" localSheetId="1">#REF!</definedName>
    <definedName name="bc" localSheetId="7">#REF!</definedName>
    <definedName name="bc" localSheetId="8">#REF!</definedName>
    <definedName name="bc" localSheetId="16">#REF!</definedName>
    <definedName name="bc" localSheetId="9">#REF!</definedName>
    <definedName name="bc">#REF!</definedName>
    <definedName name="bd" localSheetId="7">#REF!</definedName>
    <definedName name="bd" localSheetId="8">#REF!</definedName>
    <definedName name="bd" localSheetId="16">#REF!</definedName>
    <definedName name="bd" localSheetId="9">#REF!</definedName>
    <definedName name="bd">#REF!</definedName>
    <definedName name="be" localSheetId="7">#REF!</definedName>
    <definedName name="be" localSheetId="8">#REF!</definedName>
    <definedName name="be" localSheetId="16">#REF!</definedName>
    <definedName name="be" localSheetId="0">#REF!</definedName>
    <definedName name="be" localSheetId="9">#REF!</definedName>
    <definedName name="be">#REF!</definedName>
    <definedName name="bersama" localSheetId="7">'[3]Kuantitas &amp; Harga'!#REF!</definedName>
    <definedName name="bersama" localSheetId="8">'[3]Kuantitas &amp; Harga'!#REF!</definedName>
    <definedName name="bersama" localSheetId="16">'[3]Kuantitas &amp; Harga'!#REF!</definedName>
    <definedName name="bersama" localSheetId="9">'[3]Kuantitas &amp; Harga'!#REF!</definedName>
    <definedName name="bersama">'[3]Kuantitas &amp; Harga'!#REF!</definedName>
    <definedName name="besi10.sii" localSheetId="1">#REF!</definedName>
    <definedName name="besi10.sii" localSheetId="7">#REF!</definedName>
    <definedName name="besi10.sii" localSheetId="8">#REF!</definedName>
    <definedName name="besi10.sii" localSheetId="16">#REF!</definedName>
    <definedName name="besi10.sii" localSheetId="9">#REF!</definedName>
    <definedName name="besi10.sii">#REF!</definedName>
    <definedName name="besi12sii" localSheetId="7">#REF!</definedName>
    <definedName name="besi12sii" localSheetId="8">#REF!</definedName>
    <definedName name="besi12sii" localSheetId="16">#REF!</definedName>
    <definedName name="besi12sii" localSheetId="9">#REF!</definedName>
    <definedName name="besi12sii">#REF!</definedName>
    <definedName name="besi13" localSheetId="7">#REF!</definedName>
    <definedName name="besi13" localSheetId="8">#REF!</definedName>
    <definedName name="besi13" localSheetId="16">#REF!</definedName>
    <definedName name="besi13" localSheetId="9">#REF!</definedName>
    <definedName name="besi13">#REF!</definedName>
    <definedName name="besi13u" localSheetId="7">#REF!</definedName>
    <definedName name="besi13u" localSheetId="8">#REF!</definedName>
    <definedName name="besi13u" localSheetId="16">#REF!</definedName>
    <definedName name="besi13u" localSheetId="9">#REF!</definedName>
    <definedName name="besi13u">#REF!</definedName>
    <definedName name="besi16" localSheetId="7">#REF!</definedName>
    <definedName name="besi16" localSheetId="8">#REF!</definedName>
    <definedName name="besi16" localSheetId="16">#REF!</definedName>
    <definedName name="besi16" localSheetId="9">#REF!</definedName>
    <definedName name="besi16">#REF!</definedName>
    <definedName name="besi16sii" localSheetId="7">#REF!</definedName>
    <definedName name="besi16sii" localSheetId="8">#REF!</definedName>
    <definedName name="besi16sii" localSheetId="16">#REF!</definedName>
    <definedName name="besi16sii" localSheetId="9">#REF!</definedName>
    <definedName name="besi16sii">#REF!</definedName>
    <definedName name="besi16u" localSheetId="7">#REF!</definedName>
    <definedName name="besi16u" localSheetId="8">#REF!</definedName>
    <definedName name="besi16u" localSheetId="16">#REF!</definedName>
    <definedName name="besi16u" localSheetId="9">#REF!</definedName>
    <definedName name="besi16u">#REF!</definedName>
    <definedName name="besi19u" localSheetId="7">#REF!</definedName>
    <definedName name="besi19u" localSheetId="8">#REF!</definedName>
    <definedName name="besi19u" localSheetId="16">#REF!</definedName>
    <definedName name="besi19u" localSheetId="9">#REF!</definedName>
    <definedName name="besi19u">#REF!</definedName>
    <definedName name="besi6.sii" localSheetId="7">#REF!</definedName>
    <definedName name="besi6.sii" localSheetId="8">#REF!</definedName>
    <definedName name="besi6.sii" localSheetId="16">#REF!</definedName>
    <definedName name="besi6.sii" localSheetId="9">#REF!</definedName>
    <definedName name="besi6.sii">#REF!</definedName>
    <definedName name="besi6sii" localSheetId="7">#REF!</definedName>
    <definedName name="besi6sii" localSheetId="8">#REF!</definedName>
    <definedName name="besi6sii" localSheetId="16">#REF!</definedName>
    <definedName name="besi6sii" localSheetId="9">#REF!</definedName>
    <definedName name="besi6sii">#REF!</definedName>
    <definedName name="besi8sii" localSheetId="7">#REF!</definedName>
    <definedName name="besi8sii" localSheetId="8">#REF!</definedName>
    <definedName name="besi8sii" localSheetId="16">#REF!</definedName>
    <definedName name="besi8sii" localSheetId="9">#REF!</definedName>
    <definedName name="besi8sii">#REF!</definedName>
    <definedName name="besikm" localSheetId="7">'[31]DU&amp;B'!#REF!</definedName>
    <definedName name="besikm" localSheetId="8">'[31]DU&amp;B'!#REF!</definedName>
    <definedName name="besikm" localSheetId="16">'[31]DU&amp;B'!#REF!</definedName>
    <definedName name="besikm" localSheetId="9">'[31]DU&amp;B'!#REF!</definedName>
    <definedName name="besikm">'[31]DU&amp;B'!#REF!</definedName>
    <definedName name="besil" localSheetId="7">'[31]DU&amp;B'!#REF!</definedName>
    <definedName name="besil" localSheetId="8">'[31]DU&amp;B'!#REF!</definedName>
    <definedName name="besil" localSheetId="16">'[31]DU&amp;B'!#REF!</definedName>
    <definedName name="besil" localSheetId="9">'[31]DU&amp;B'!#REF!</definedName>
    <definedName name="besil">'[31]DU&amp;B'!#REF!</definedName>
    <definedName name="besilh" localSheetId="7">'[31]DU&amp;B'!#REF!</definedName>
    <definedName name="besilh" localSheetId="8">'[31]DU&amp;B'!#REF!</definedName>
    <definedName name="besilh" localSheetId="16">'[31]DU&amp;B'!#REF!</definedName>
    <definedName name="besilh" localSheetId="9">'[31]DU&amp;B'!#REF!</definedName>
    <definedName name="besilh">'[31]DU&amp;B'!#REF!</definedName>
    <definedName name="besipegangan" localSheetId="1">[29]cover!#REF!</definedName>
    <definedName name="besipegangan" localSheetId="7">[30]cover!#REF!</definedName>
    <definedName name="besipegangan" localSheetId="8">[30]cover!#REF!</definedName>
    <definedName name="besipegangan" localSheetId="16">[30]cover!#REF!</definedName>
    <definedName name="besipegangan" localSheetId="0">[30]cover!#REF!</definedName>
    <definedName name="besipegangan" localSheetId="9">[30]cover!#REF!</definedName>
    <definedName name="besipegangan">[30]cover!#REF!</definedName>
    <definedName name="besiu" localSheetId="7">'[31]DU&amp;B'!#REF!</definedName>
    <definedName name="besiu" localSheetId="8">'[31]DU&amp;B'!#REF!</definedName>
    <definedName name="besiu" localSheetId="16">'[31]DU&amp;B'!#REF!</definedName>
    <definedName name="besiu" localSheetId="9">'[31]DU&amp;B'!#REF!</definedName>
    <definedName name="besiu">'[31]DU&amp;B'!#REF!</definedName>
    <definedName name="beton" localSheetId="1">#REF!</definedName>
    <definedName name="beton" localSheetId="7">#REF!</definedName>
    <definedName name="beton" localSheetId="8">#REF!</definedName>
    <definedName name="beton" localSheetId="16">#REF!</definedName>
    <definedName name="beton" localSheetId="0">#REF!</definedName>
    <definedName name="beton" localSheetId="9">#REF!</definedName>
    <definedName name="beton">#REF!</definedName>
    <definedName name="beton.225m" localSheetId="7">#REF!</definedName>
    <definedName name="beton.225m" localSheetId="8">#REF!</definedName>
    <definedName name="beton.225m" localSheetId="16">#REF!</definedName>
    <definedName name="beton.225m" localSheetId="9">#REF!</definedName>
    <definedName name="beton.225m">#REF!</definedName>
    <definedName name="beton.tumbuk" localSheetId="7">#REF!</definedName>
    <definedName name="beton.tumbuk" localSheetId="8">#REF!</definedName>
    <definedName name="beton.tumbuk" localSheetId="16">#REF!</definedName>
    <definedName name="beton.tumbuk" localSheetId="9">#REF!</definedName>
    <definedName name="beton.tumbuk">#REF!</definedName>
    <definedName name="beton175m" localSheetId="7">#REF!</definedName>
    <definedName name="beton175m" localSheetId="8">#REF!</definedName>
    <definedName name="beton175m" localSheetId="16">#REF!</definedName>
    <definedName name="beton175m" localSheetId="9">#REF!</definedName>
    <definedName name="beton175m">#REF!</definedName>
    <definedName name="beton175R" localSheetId="7">#REF!</definedName>
    <definedName name="beton175R" localSheetId="8">#REF!</definedName>
    <definedName name="beton175R" localSheetId="16">#REF!</definedName>
    <definedName name="beton175R" localSheetId="9">#REF!</definedName>
    <definedName name="beton175R">#REF!</definedName>
    <definedName name="beton225r" localSheetId="7">#REF!</definedName>
    <definedName name="beton225r" localSheetId="8">#REF!</definedName>
    <definedName name="beton225r" localSheetId="16">#REF!</definedName>
    <definedName name="beton225r" localSheetId="9">#REF!</definedName>
    <definedName name="beton225r">#REF!</definedName>
    <definedName name="beton250m" localSheetId="7">#REF!</definedName>
    <definedName name="beton250m" localSheetId="8">#REF!</definedName>
    <definedName name="beton250m" localSheetId="16">#REF!</definedName>
    <definedName name="beton250m" localSheetId="9">#REF!</definedName>
    <definedName name="beton250m">#REF!</definedName>
    <definedName name="beton250r" localSheetId="7">#REF!</definedName>
    <definedName name="beton250r" localSheetId="8">#REF!</definedName>
    <definedName name="beton250r" localSheetId="16">#REF!</definedName>
    <definedName name="beton250r" localSheetId="9">#REF!</definedName>
    <definedName name="beton250r">#REF!</definedName>
    <definedName name="betonmassa" localSheetId="7">#REF!</definedName>
    <definedName name="betonmassa" localSheetId="8">#REF!</definedName>
    <definedName name="betonmassa" localSheetId="16">#REF!</definedName>
    <definedName name="betonmassa" localSheetId="0">#REF!</definedName>
    <definedName name="betonmassa" localSheetId="9">#REF!</definedName>
    <definedName name="betonmassa">#REF!</definedName>
    <definedName name="betontulang" localSheetId="7">[31]Analisa!#REF!</definedName>
    <definedName name="betontulang" localSheetId="8">[31]Analisa!#REF!</definedName>
    <definedName name="betontulang" localSheetId="16">[31]Analisa!#REF!</definedName>
    <definedName name="betontulang" localSheetId="9">[31]Analisa!#REF!</definedName>
    <definedName name="betontulang">[31]Analisa!#REF!</definedName>
    <definedName name="bg" localSheetId="1">#REF!</definedName>
    <definedName name="bg" localSheetId="7">#REF!</definedName>
    <definedName name="bg" localSheetId="8">#REF!</definedName>
    <definedName name="bg" localSheetId="16">#REF!</definedName>
    <definedName name="bg" localSheetId="9">#REF!</definedName>
    <definedName name="bg">#REF!</definedName>
    <definedName name="BILL1" localSheetId="1">#REF!</definedName>
    <definedName name="BILL1" localSheetId="7">#REF!</definedName>
    <definedName name="BILL1" localSheetId="8">#REF!</definedName>
    <definedName name="BILL1" localSheetId="16">#REF!</definedName>
    <definedName name="BILL1" localSheetId="9">#REF!</definedName>
    <definedName name="BILL1">#REF!</definedName>
    <definedName name="BILL10" localSheetId="7">#REF!</definedName>
    <definedName name="BILL10" localSheetId="8">#REF!</definedName>
    <definedName name="BILL10" localSheetId="16">#REF!</definedName>
    <definedName name="BILL10" localSheetId="9">#REF!</definedName>
    <definedName name="BILL10">#REF!</definedName>
    <definedName name="BILL2" localSheetId="7">#REF!</definedName>
    <definedName name="BILL2" localSheetId="8">#REF!</definedName>
    <definedName name="BILL2" localSheetId="16">#REF!</definedName>
    <definedName name="BILL2" localSheetId="9">#REF!</definedName>
    <definedName name="BILL2">#REF!</definedName>
    <definedName name="BILL3" localSheetId="7">#REF!</definedName>
    <definedName name="BILL3" localSheetId="8">#REF!</definedName>
    <definedName name="BILL3" localSheetId="16">#REF!</definedName>
    <definedName name="BILL3" localSheetId="9">#REF!</definedName>
    <definedName name="BILL3">#REF!</definedName>
    <definedName name="BILL4" localSheetId="7">#REF!</definedName>
    <definedName name="BILL4" localSheetId="8">#REF!</definedName>
    <definedName name="BILL4" localSheetId="16">#REF!</definedName>
    <definedName name="BILL4" localSheetId="9">#REF!</definedName>
    <definedName name="BILL4">#REF!</definedName>
    <definedName name="BILL5" localSheetId="7">#REF!</definedName>
    <definedName name="BILL5" localSheetId="8">#REF!</definedName>
    <definedName name="BILL5" localSheetId="16">#REF!</definedName>
    <definedName name="BILL5" localSheetId="9">#REF!</definedName>
    <definedName name="BILL5">#REF!</definedName>
    <definedName name="BILL6" localSheetId="7">#REF!</definedName>
    <definedName name="BILL6" localSheetId="8">#REF!</definedName>
    <definedName name="BILL6" localSheetId="16">#REF!</definedName>
    <definedName name="BILL6" localSheetId="9">#REF!</definedName>
    <definedName name="BILL6">#REF!</definedName>
    <definedName name="BILL7" localSheetId="7">#REF!</definedName>
    <definedName name="BILL7" localSheetId="8">#REF!</definedName>
    <definedName name="BILL7" localSheetId="16">#REF!</definedName>
    <definedName name="BILL7" localSheetId="9">#REF!</definedName>
    <definedName name="BILL7">#REF!</definedName>
    <definedName name="BILL8" localSheetId="7">#REF!</definedName>
    <definedName name="BILL8" localSheetId="8">#REF!</definedName>
    <definedName name="BILL8" localSheetId="16">#REF!</definedName>
    <definedName name="BILL8" localSheetId="9">#REF!</definedName>
    <definedName name="BILL8">#REF!</definedName>
    <definedName name="BILL9" localSheetId="7">#REF!</definedName>
    <definedName name="BILL9" localSheetId="8">#REF!</definedName>
    <definedName name="BILL9" localSheetId="16">#REF!</definedName>
    <definedName name="BILL9" localSheetId="9">#REF!</definedName>
    <definedName name="BILL9">#REF!</definedName>
    <definedName name="bk" localSheetId="7">#REF!</definedName>
    <definedName name="bk" localSheetId="8">#REF!</definedName>
    <definedName name="bk" localSheetId="16">#REF!</definedName>
    <definedName name="bk" localSheetId="9">#REF!</definedName>
    <definedName name="bk">#REF!</definedName>
    <definedName name="bkal">'[37]DU&amp;B'!$F$16</definedName>
    <definedName name="blp" localSheetId="1">#REF!</definedName>
    <definedName name="blp" localSheetId="7">#REF!</definedName>
    <definedName name="blp" localSheetId="8">#REF!</definedName>
    <definedName name="blp" localSheetId="16">#REF!</definedName>
    <definedName name="blp" localSheetId="9">#REF!</definedName>
    <definedName name="blp">#REF!</definedName>
    <definedName name="boker" localSheetId="1">'[3]Kuantitas &amp; Harga'!#REF!</definedName>
    <definedName name="boker" localSheetId="7">'[3]Kuantitas &amp; Harga'!#REF!</definedName>
    <definedName name="boker" localSheetId="8">'[3]Kuantitas &amp; Harga'!#REF!</definedName>
    <definedName name="boker" localSheetId="16">'[3]Kuantitas &amp; Harga'!#REF!</definedName>
    <definedName name="boker" localSheetId="9">'[3]Kuantitas &amp; Harga'!#REF!</definedName>
    <definedName name="boker">'[3]Kuantitas &amp; Harga'!#REF!</definedName>
    <definedName name="borneo4.6" localSheetId="1">#REF!</definedName>
    <definedName name="borneo4.6" localSheetId="7">#REF!</definedName>
    <definedName name="borneo4.6" localSheetId="8">#REF!</definedName>
    <definedName name="borneo4.6" localSheetId="16">#REF!</definedName>
    <definedName name="borneo4.6" localSheetId="9">#REF!</definedName>
    <definedName name="borneo4.6">#REF!</definedName>
    <definedName name="borneo5.10" localSheetId="7">#REF!</definedName>
    <definedName name="borneo5.10" localSheetId="8">#REF!</definedName>
    <definedName name="borneo5.10" localSheetId="16">#REF!</definedName>
    <definedName name="borneo5.10" localSheetId="9">#REF!</definedName>
    <definedName name="borneo5.10">#REF!</definedName>
    <definedName name="borneo5.7" localSheetId="7">#REF!</definedName>
    <definedName name="borneo5.7" localSheetId="8">#REF!</definedName>
    <definedName name="borneo5.7" localSheetId="16">#REF!</definedName>
    <definedName name="borneo5.7" localSheetId="9">#REF!</definedName>
    <definedName name="borneo5.7">#REF!</definedName>
    <definedName name="borneo6.12" localSheetId="7">#REF!</definedName>
    <definedName name="borneo6.12" localSheetId="8">#REF!</definedName>
    <definedName name="borneo6.12" localSheetId="16">#REF!</definedName>
    <definedName name="borneo6.12" localSheetId="9">#REF!</definedName>
    <definedName name="borneo6.12">#REF!</definedName>
    <definedName name="bouplank" localSheetId="1">[33]Analisis!#REF!</definedName>
    <definedName name="bouplank" localSheetId="7">[34]Analisis!#REF!</definedName>
    <definedName name="bouplank" localSheetId="8">[34]Analisis!#REF!</definedName>
    <definedName name="bouplank" localSheetId="16">[34]Analisis!#REF!</definedName>
    <definedName name="bouplank" localSheetId="0">[34]Analisis!#REF!</definedName>
    <definedName name="bouplank" localSheetId="9">[34]Analisis!#REF!</definedName>
    <definedName name="bouplank">[34]Analisis!#REF!</definedName>
    <definedName name="bouwplnk" localSheetId="1">#REF!</definedName>
    <definedName name="bouwplnk" localSheetId="7">#REF!</definedName>
    <definedName name="bouwplnk" localSheetId="8">#REF!</definedName>
    <definedName name="bouwplnk" localSheetId="16">#REF!</definedName>
    <definedName name="bouwplnk" localSheetId="9">#REF!</definedName>
    <definedName name="bouwplnk">#REF!</definedName>
    <definedName name="bq" localSheetId="1">#REF!</definedName>
    <definedName name="bq" localSheetId="7">#REF!</definedName>
    <definedName name="bq" localSheetId="8">#REF!</definedName>
    <definedName name="bq" localSheetId="16">#REF!</definedName>
    <definedName name="bq" localSheetId="0">#REF!</definedName>
    <definedName name="bq" localSheetId="9">#REF!</definedName>
    <definedName name="bq">#REF!</definedName>
    <definedName name="BQEX" localSheetId="1">[38]BQ!$B$12:$K$425</definedName>
    <definedName name="BQEX">[39]BQ!$B$12:$K$425</definedName>
    <definedName name="bsk" localSheetId="1">#REF!</definedName>
    <definedName name="bsk" localSheetId="7">#REF!</definedName>
    <definedName name="bsk" localSheetId="8">#REF!</definedName>
    <definedName name="bsk" localSheetId="16">#REF!</definedName>
    <definedName name="bsk" localSheetId="0">#REF!</definedName>
    <definedName name="bsk" localSheetId="9">#REF!</definedName>
    <definedName name="bsk">#REF!</definedName>
    <definedName name="btn" localSheetId="7">#REF!</definedName>
    <definedName name="btn" localSheetId="8">#REF!</definedName>
    <definedName name="btn" localSheetId="16">#REF!</definedName>
    <definedName name="btn" localSheetId="9">#REF!</definedName>
    <definedName name="btn">#REF!</definedName>
    <definedName name="bubunganseng" localSheetId="1">[33]Analisis!#REF!</definedName>
    <definedName name="bubunganseng" localSheetId="7">[34]Analisis!#REF!</definedName>
    <definedName name="bubunganseng" localSheetId="8">[34]Analisis!#REF!</definedName>
    <definedName name="bubunganseng" localSheetId="16">[34]Analisis!#REF!</definedName>
    <definedName name="bubunganseng" localSheetId="0">[34]Analisis!#REF!</definedName>
    <definedName name="bubunganseng" localSheetId="9">[34]Analisis!#REF!</definedName>
    <definedName name="bubunganseng">[34]Analisis!#REF!</definedName>
    <definedName name="buldozer" localSheetId="1">#REF!</definedName>
    <definedName name="buldozer" localSheetId="7">#REF!</definedName>
    <definedName name="buldozer" localSheetId="8">#REF!</definedName>
    <definedName name="buldozer" localSheetId="16">#REF!</definedName>
    <definedName name="buldozer" localSheetId="0">#REF!</definedName>
    <definedName name="buldozer" localSheetId="9">#REF!</definedName>
    <definedName name="buldozer">#REF!</definedName>
    <definedName name="BULLDOZER" localSheetId="1">'[11]An. Alat'!#REF!</definedName>
    <definedName name="BULLDOZER" localSheetId="7">'[11]An. Alat'!#REF!</definedName>
    <definedName name="BULLDOZER" localSheetId="8">'[11]An. Alat'!#REF!</definedName>
    <definedName name="BULLDOZER" localSheetId="16">'[11]An. Alat'!#REF!</definedName>
    <definedName name="BULLDOZER" localSheetId="9">'[11]An. Alat'!#REF!</definedName>
    <definedName name="BULLDOZER">'[11]An. Alat'!#REF!</definedName>
    <definedName name="BULLDOZER312" localSheetId="1">#REF!</definedName>
    <definedName name="BULLDOZER312" localSheetId="7">#REF!</definedName>
    <definedName name="BULLDOZER312" localSheetId="8">#REF!</definedName>
    <definedName name="BULLDOZER312" localSheetId="16">#REF!</definedName>
    <definedName name="BULLDOZER312" localSheetId="9">#REF!</definedName>
    <definedName name="BULLDOZER312">#REF!</definedName>
    <definedName name="C." localSheetId="7">#REF!</definedName>
    <definedName name="C." localSheetId="8">#REF!</definedName>
    <definedName name="C." localSheetId="16">#REF!</definedName>
    <definedName name="C." localSheetId="9">#REF!</definedName>
    <definedName name="C.">#REF!</definedName>
    <definedName name="c.maxi" localSheetId="7">#REF!</definedName>
    <definedName name="c.maxi" localSheetId="8">#REF!</definedName>
    <definedName name="c.maxi" localSheetId="16">#REF!</definedName>
    <definedName name="c.maxi" localSheetId="9">#REF!</definedName>
    <definedName name="c.maxi">#REF!</definedName>
    <definedName name="c.mowi.dlm" localSheetId="7">#REF!</definedName>
    <definedName name="c.mowi.dlm" localSheetId="8">#REF!</definedName>
    <definedName name="c.mowi.dlm" localSheetId="16">#REF!</definedName>
    <definedName name="c.mowi.dlm" localSheetId="9">#REF!</definedName>
    <definedName name="c.mowi.dlm">#REF!</definedName>
    <definedName name="c.mowi.luar" localSheetId="7">#REF!</definedName>
    <definedName name="c.mowi.luar" localSheetId="8">#REF!</definedName>
    <definedName name="c.mowi.luar" localSheetId="16">#REF!</definedName>
    <definedName name="c.mowi.luar" localSheetId="9">#REF!</definedName>
    <definedName name="c.mowi.luar">#REF!</definedName>
    <definedName name="c.vinilex.dlm" localSheetId="7">#REF!</definedName>
    <definedName name="c.vinilex.dlm" localSheetId="8">#REF!</definedName>
    <definedName name="c.vinilex.dlm" localSheetId="16">#REF!</definedName>
    <definedName name="c.vinilex.dlm" localSheetId="9">#REF!</definedName>
    <definedName name="c.vinilex.dlm">#REF!</definedName>
    <definedName name="c.vinilex.sjs" localSheetId="7">#REF!</definedName>
    <definedName name="c.vinilex.sjs" localSheetId="8">#REF!</definedName>
    <definedName name="c.vinilex.sjs" localSheetId="16">#REF!</definedName>
    <definedName name="c.vinilex.sjs" localSheetId="9">#REF!</definedName>
    <definedName name="c.vinilex.sjs">#REF!</definedName>
    <definedName name="campuranpanaslatasir" localSheetId="7">#REF!</definedName>
    <definedName name="campuranpanaslatasir" localSheetId="8">#REF!</definedName>
    <definedName name="campuranpanaslatasir" localSheetId="16">#REF!</definedName>
    <definedName name="campuranpanaslatasir" localSheetId="0">#REF!</definedName>
    <definedName name="campuranpanaslatasir" localSheetId="9">#REF!</definedName>
    <definedName name="campuranpanaslatasir">#REF!</definedName>
    <definedName name="CAPE01">[16]ALAT!$Q$19</definedName>
    <definedName name="CAPE03">[16]ALAT!$Q$21</definedName>
    <definedName name="cape06">[16]ALAT!$Q$24</definedName>
    <definedName name="CAPE09">[16]ALAT!$Q$27</definedName>
    <definedName name="CAPE15">[16]ALAT!$Q$33</definedName>
    <definedName name="cat" localSheetId="1">#REF!</definedName>
    <definedName name="cat" localSheetId="7">#REF!</definedName>
    <definedName name="cat" localSheetId="8">#REF!</definedName>
    <definedName name="cat" localSheetId="16">#REF!</definedName>
    <definedName name="cat" localSheetId="0">#REF!</definedName>
    <definedName name="cat" localSheetId="9">#REF!</definedName>
    <definedName name="cat">#REF!</definedName>
    <definedName name="catkosen" localSheetId="1">[33]Analisis!#REF!</definedName>
    <definedName name="catkosen" localSheetId="7">[34]Analisis!#REF!</definedName>
    <definedName name="catkosen" localSheetId="8">[34]Analisis!#REF!</definedName>
    <definedName name="catkosen" localSheetId="16">[34]Analisis!#REF!</definedName>
    <definedName name="catkosen" localSheetId="0">[34]Analisis!#REF!</definedName>
    <definedName name="catkosen" localSheetId="9">[34]Analisis!#REF!</definedName>
    <definedName name="catkosen">[34]Analisis!#REF!</definedName>
    <definedName name="catmeni" localSheetId="1">[33]Analisis!#REF!</definedName>
    <definedName name="catmeni" localSheetId="7">[34]Analisis!#REF!</definedName>
    <definedName name="catmeni" localSheetId="8">[34]Analisis!#REF!</definedName>
    <definedName name="catmeni" localSheetId="16">[34]Analisis!#REF!</definedName>
    <definedName name="catmeni" localSheetId="0">[34]Analisis!#REF!</definedName>
    <definedName name="catmeni" localSheetId="9">[34]Analisis!#REF!</definedName>
    <definedName name="catmeni">[34]Analisis!#REF!</definedName>
    <definedName name="catmenie" localSheetId="7">'[18]harga lama'!#REF!</definedName>
    <definedName name="catmenie" localSheetId="8">'[18]harga lama'!#REF!</definedName>
    <definedName name="catmenie" localSheetId="16">'[18]harga lama'!#REF!</definedName>
    <definedName name="catmenie" localSheetId="9">'[18]harga lama'!#REF!</definedName>
    <definedName name="catmenie">'[18]harga lama'!#REF!</definedName>
    <definedName name="catminyak" localSheetId="7">'[18]harga lama'!#REF!</definedName>
    <definedName name="catminyak" localSheetId="8">'[18]harga lama'!#REF!</definedName>
    <definedName name="catminyak" localSheetId="16">'[18]harga lama'!#REF!</definedName>
    <definedName name="catminyak" localSheetId="9">'[18]harga lama'!#REF!</definedName>
    <definedName name="catminyak">'[18]harga lama'!#REF!</definedName>
    <definedName name="cattembok" localSheetId="1">[33]Analisis!#REF!</definedName>
    <definedName name="cattembok" localSheetId="7">[34]Analisis!#REF!</definedName>
    <definedName name="cattembok" localSheetId="8">[34]Analisis!#REF!</definedName>
    <definedName name="cattembok" localSheetId="16">[34]Analisis!#REF!</definedName>
    <definedName name="cattembok" localSheetId="0">[34]Analisis!#REF!</definedName>
    <definedName name="cattembok" localSheetId="9">[34]Analisis!#REF!</definedName>
    <definedName name="cattembok">[34]Analisis!#REF!</definedName>
    <definedName name="cendana" localSheetId="1">#REF!</definedName>
    <definedName name="cendana" localSheetId="7">#REF!</definedName>
    <definedName name="cendana" localSheetId="8">#REF!</definedName>
    <definedName name="cendana" localSheetId="16">#REF!</definedName>
    <definedName name="cendana" localSheetId="9">#REF!</definedName>
    <definedName name="cendana">#REF!</definedName>
    <definedName name="cetakan" localSheetId="1">#REF!</definedName>
    <definedName name="cetakan" localSheetId="7">#REF!</definedName>
    <definedName name="cetakan" localSheetId="8">#REF!</definedName>
    <definedName name="cetakan" localSheetId="16">#REF!</definedName>
    <definedName name="cetakan" localSheetId="0">#REF!</definedName>
    <definedName name="cetakan" localSheetId="9">#REF!</definedName>
    <definedName name="cetakan">#REF!</definedName>
    <definedName name="CHAIN_SAW" localSheetId="7">[32]Rab!#REF!</definedName>
    <definedName name="CHAIN_SAW" localSheetId="8">[32]Rab!#REF!</definedName>
    <definedName name="CHAIN_SAW" localSheetId="16">[32]Rab!#REF!</definedName>
    <definedName name="CHAIN_SAW" localSheetId="9">[32]Rab!#REF!</definedName>
    <definedName name="CHAIN_SAW">[32]Rab!#REF!</definedName>
    <definedName name="cinta" localSheetId="1">#REF!</definedName>
    <definedName name="cinta" localSheetId="7">#REF!</definedName>
    <definedName name="cinta" localSheetId="8">#REF!</definedName>
    <definedName name="cinta" localSheetId="16">#REF!</definedName>
    <definedName name="cinta" localSheetId="9">#REF!</definedName>
    <definedName name="cinta">#REF!</definedName>
    <definedName name="Closet.c420" localSheetId="7">#REF!</definedName>
    <definedName name="Closet.c420" localSheetId="8">#REF!</definedName>
    <definedName name="Closet.c420" localSheetId="16">#REF!</definedName>
    <definedName name="Closet.c420" localSheetId="9">#REF!</definedName>
    <definedName name="Closet.c420">#REF!</definedName>
    <definedName name="Closet.ddk" localSheetId="7">#REF!</definedName>
    <definedName name="Closet.ddk" localSheetId="8">#REF!</definedName>
    <definedName name="Closet.ddk" localSheetId="16">#REF!</definedName>
    <definedName name="Closet.ddk" localSheetId="9">#REF!</definedName>
    <definedName name="Closet.ddk">#REF!</definedName>
    <definedName name="closet.jkok" localSheetId="7">#REF!</definedName>
    <definedName name="closet.jkok" localSheetId="8">#REF!</definedName>
    <definedName name="closet.jkok" localSheetId="16">#REF!</definedName>
    <definedName name="closet.jkok" localSheetId="9">#REF!</definedName>
    <definedName name="closet.jkok">#REF!</definedName>
    <definedName name="compresor" localSheetId="7">#REF!</definedName>
    <definedName name="compresor" localSheetId="8">#REF!</definedName>
    <definedName name="compresor" localSheetId="16">#REF!</definedName>
    <definedName name="compresor" localSheetId="0">#REF!</definedName>
    <definedName name="compresor" localSheetId="9">#REF!</definedName>
    <definedName name="compresor">#REF!</definedName>
    <definedName name="COMPRESSOR" localSheetId="7">'[11]An. Alat'!#REF!</definedName>
    <definedName name="COMPRESSOR" localSheetId="8">'[11]An. Alat'!#REF!</definedName>
    <definedName name="COMPRESSOR" localSheetId="16">'[11]An. Alat'!#REF!</definedName>
    <definedName name="COMPRESSOR" localSheetId="9">'[11]An. Alat'!#REF!</definedName>
    <definedName name="COMPRESSOR">'[11]An. Alat'!#REF!</definedName>
    <definedName name="concrate" localSheetId="1">#REF!</definedName>
    <definedName name="concrate" localSheetId="7">#REF!</definedName>
    <definedName name="concrate" localSheetId="8">#REF!</definedName>
    <definedName name="concrate" localSheetId="16">#REF!</definedName>
    <definedName name="concrate" localSheetId="0">#REF!</definedName>
    <definedName name="concrate" localSheetId="9">#REF!</definedName>
    <definedName name="concrate">#REF!</definedName>
    <definedName name="concrete" localSheetId="1">'[40]WF '!#REF!</definedName>
    <definedName name="concrete" localSheetId="7">'[40]WF '!#REF!</definedName>
    <definedName name="concrete" localSheetId="8">'[40]WF '!#REF!</definedName>
    <definedName name="concrete" localSheetId="16">'[40]WF '!#REF!</definedName>
    <definedName name="concrete" localSheetId="9">'[40]WF '!#REF!</definedName>
    <definedName name="concrete">'[40]WF '!#REF!</definedName>
    <definedName name="CONCRETEMIX818" localSheetId="1">#REF!</definedName>
    <definedName name="CONCRETEMIX818" localSheetId="7">#REF!</definedName>
    <definedName name="CONCRETEMIX818" localSheetId="8">#REF!</definedName>
    <definedName name="CONCRETEMIX818" localSheetId="16">#REF!</definedName>
    <definedName name="CONCRETEMIX818" localSheetId="9">#REF!</definedName>
    <definedName name="CONCRETEMIX818">#REF!</definedName>
    <definedName name="CONCRETEMIXER">'[11]An. Alat'!$A$1:$J$59</definedName>
    <definedName name="CONCRETEMIXER74" localSheetId="1">#REF!</definedName>
    <definedName name="CONCRETEMIXER74" localSheetId="7">#REF!</definedName>
    <definedName name="CONCRETEMIXER74" localSheetId="8">#REF!</definedName>
    <definedName name="CONCRETEMIXER74" localSheetId="16">#REF!</definedName>
    <definedName name="CONCRETEMIXER74" localSheetId="9">#REF!</definedName>
    <definedName name="CONCRETEMIXER74">#REF!</definedName>
    <definedName name="CONCRETEVIBRO">'[11]An. Alat'!$A$474:$J$532</definedName>
    <definedName name="CONCRETMIXER818" localSheetId="1">#REF!</definedName>
    <definedName name="CONCRETMIXER818" localSheetId="7">#REF!</definedName>
    <definedName name="CONCRETMIXER818" localSheetId="8">#REF!</definedName>
    <definedName name="CONCRETMIXER818" localSheetId="16">#REF!</definedName>
    <definedName name="CONCRETMIXER818" localSheetId="9">#REF!</definedName>
    <definedName name="CONCRETMIXER818">#REF!</definedName>
    <definedName name="cov">'[41]ANALISA '!$AD$1148</definedName>
    <definedName name="COVER" localSheetId="4">'[42]ANALISA '!#REF!</definedName>
    <definedName name="COVER" localSheetId="1">'[42]ANALISA '!#REF!</definedName>
    <definedName name="COVER" localSheetId="7">'[42]ANALISA '!#REF!</definedName>
    <definedName name="COVER" localSheetId="8">'[42]ANALISA '!#REF!</definedName>
    <definedName name="COVER" localSheetId="16">'[42]ANALISA '!#REF!</definedName>
    <definedName name="COVER" localSheetId="9">'[42]ANALISA '!#REF!</definedName>
    <definedName name="COVER">'[42]ANALISA '!#REF!</definedName>
    <definedName name="cr">'[1]Upah&amp;Bahan'!$U$1213</definedName>
    <definedName name="cra">'[1]Upah&amp;Bahan'!$U$1157</definedName>
    <definedName name="Crane" localSheetId="1">[43]rekap!$D$77</definedName>
    <definedName name="Crane">[44]rekap!$D$77</definedName>
    <definedName name="craz">'[1]Upah&amp;Bahan'!$U$1101</definedName>
    <definedName name="crazy">'[1]Upah&amp;Bahan'!$U$1045</definedName>
    <definedName name="cs" localSheetId="4">[8]BPS!#REF!</definedName>
    <definedName name="cs" localSheetId="1">[8]BPS!#REF!</definedName>
    <definedName name="cs" localSheetId="7">[8]BPS!#REF!</definedName>
    <definedName name="cs" localSheetId="8">[8]BPS!#REF!</definedName>
    <definedName name="cs" localSheetId="16">[8]BPS!#REF!</definedName>
    <definedName name="cs" localSheetId="0">[8]BPS!#REF!</definedName>
    <definedName name="cs" localSheetId="9">[8]BPS!#REF!</definedName>
    <definedName name="cs">[8]BPS!#REF!</definedName>
    <definedName name="cy" localSheetId="1">#REF!</definedName>
    <definedName name="cy" localSheetId="7">#REF!</definedName>
    <definedName name="cy" localSheetId="8">#REF!</definedName>
    <definedName name="cy" localSheetId="16">#REF!</definedName>
    <definedName name="cy" localSheetId="0">#REF!</definedName>
    <definedName name="cy" localSheetId="9">#REF!</definedName>
    <definedName name="cy">#REF!</definedName>
    <definedName name="cycllop" localSheetId="7">#REF!</definedName>
    <definedName name="cycllop" localSheetId="8">#REF!</definedName>
    <definedName name="cycllop" localSheetId="16">#REF!</definedName>
    <definedName name="cycllop" localSheetId="9">#REF!</definedName>
    <definedName name="cycllop">#REF!</definedName>
    <definedName name="cycloop" localSheetId="1">[33]Analisis!#REF!</definedName>
    <definedName name="cycloop" localSheetId="7">[34]Analisis!#REF!</definedName>
    <definedName name="cycloop" localSheetId="8">[34]Analisis!#REF!</definedName>
    <definedName name="cycloop" localSheetId="16">[34]Analisis!#REF!</definedName>
    <definedName name="cycloop" localSheetId="0">[34]Analisis!#REF!</definedName>
    <definedName name="cycloop" localSheetId="9">[34]Analisis!#REF!</definedName>
    <definedName name="cycloop">[34]Analisis!#REF!</definedName>
    <definedName name="d">'[1]Upah&amp;Bahan'!$C$18</definedName>
    <definedName name="D." localSheetId="1">#REF!</definedName>
    <definedName name="D." localSheetId="7">#REF!</definedName>
    <definedName name="D." localSheetId="8">#REF!</definedName>
    <definedName name="D." localSheetId="16">#REF!</definedName>
    <definedName name="D." localSheetId="9">#REF!</definedName>
    <definedName name="D.">#REF!</definedName>
    <definedName name="D.13" localSheetId="7">#REF!</definedName>
    <definedName name="D.13" localSheetId="8">#REF!</definedName>
    <definedName name="D.13" localSheetId="16">#REF!</definedName>
    <definedName name="D.13" localSheetId="9">#REF!</definedName>
    <definedName name="D.13">#REF!</definedName>
    <definedName name="DAFTARSEWA" localSheetId="7">'[11]An. Alat'!#REF!</definedName>
    <definedName name="DAFTARSEWA" localSheetId="8">'[11]An. Alat'!#REF!</definedName>
    <definedName name="DAFTARSEWA" localSheetId="16">'[11]An. Alat'!#REF!</definedName>
    <definedName name="DAFTARSEWA" localSheetId="9">'[11]An. Alat'!#REF!</definedName>
    <definedName name="DAFTARSEWA">'[11]An. Alat'!#REF!</definedName>
    <definedName name="DASAR_BAHAN">'[2]DSR U&amp;B(ok)'!$A$1:$K$750</definedName>
    <definedName name="data" localSheetId="1">#REF!</definedName>
    <definedName name="data" localSheetId="7">#REF!</definedName>
    <definedName name="data" localSheetId="8">#REF!</definedName>
    <definedName name="data" localSheetId="16">#REF!</definedName>
    <definedName name="data" localSheetId="9">#REF!</definedName>
    <definedName name="data">#REF!</definedName>
    <definedName name="day" localSheetId="7">#REF!</definedName>
    <definedName name="day" localSheetId="8">#REF!</definedName>
    <definedName name="day" localSheetId="16">#REF!</definedName>
    <definedName name="day" localSheetId="9">#REF!</definedName>
    <definedName name="day">#REF!</definedName>
    <definedName name="DAYWORKS">'[7]Kuantitas &amp; Harga'!$A$307:$H$358</definedName>
    <definedName name="dd" localSheetId="4">[20]MFC!#REF!</definedName>
    <definedName name="dd" localSheetId="1">[19]MFC!#REF!</definedName>
    <definedName name="dd" localSheetId="7">[20]MFC!#REF!</definedName>
    <definedName name="dd" localSheetId="8">[20]MFC!#REF!</definedName>
    <definedName name="dd" localSheetId="16">[20]MFC!#REF!</definedName>
    <definedName name="dd" localSheetId="0">[20]MFC!#REF!</definedName>
    <definedName name="dd" localSheetId="9">[20]MFC!#REF!</definedName>
    <definedName name="dd">[20]MFC!#REF!</definedName>
    <definedName name="dddd" localSheetId="1">#REF!</definedName>
    <definedName name="dddd" localSheetId="7">#REF!</definedName>
    <definedName name="dddd" localSheetId="8">#REF!</definedName>
    <definedName name="dddd" localSheetId="16">#REF!</definedName>
    <definedName name="dddd" localSheetId="0">#REF!</definedName>
    <definedName name="dddd" localSheetId="9">#REF!</definedName>
    <definedName name="dddd">#REF!</definedName>
    <definedName name="ded" localSheetId="1">[8]BPS!#REF!</definedName>
    <definedName name="ded" localSheetId="7">[8]BPS!#REF!</definedName>
    <definedName name="ded" localSheetId="8">[8]BPS!#REF!</definedName>
    <definedName name="ded" localSheetId="16">[8]BPS!#REF!</definedName>
    <definedName name="ded" localSheetId="0">[8]BPS!#REF!</definedName>
    <definedName name="ded" localSheetId="9">[8]BPS!#REF!</definedName>
    <definedName name="ded">[8]BPS!#REF!</definedName>
    <definedName name="dempul" localSheetId="1">[29]cover!#REF!</definedName>
    <definedName name="dempul" localSheetId="7">[30]cover!#REF!</definedName>
    <definedName name="dempul" localSheetId="8">[30]cover!#REF!</definedName>
    <definedName name="dempul" localSheetId="16">[30]cover!#REF!</definedName>
    <definedName name="dempul" localSheetId="0">[30]cover!#REF!</definedName>
    <definedName name="dempul" localSheetId="9">[30]cover!#REF!</definedName>
    <definedName name="dempul">[30]cover!#REF!</definedName>
    <definedName name="dengan">'[3]Upah&amp;Bahan'!$C$24</definedName>
    <definedName name="densopaste" localSheetId="4">'[18]harga lama'!#REF!</definedName>
    <definedName name="densopaste" localSheetId="1">'[18]harga lama'!#REF!</definedName>
    <definedName name="densopaste" localSheetId="7">'[18]harga lama'!#REF!</definedName>
    <definedName name="densopaste" localSheetId="8">'[18]harga lama'!#REF!</definedName>
    <definedName name="densopaste" localSheetId="16">'[18]harga lama'!#REF!</definedName>
    <definedName name="densopaste" localSheetId="9">'[18]harga lama'!#REF!</definedName>
    <definedName name="densopaste">'[18]harga lama'!#REF!</definedName>
    <definedName name="densopool" localSheetId="1">'[18]harga lama'!#REF!</definedName>
    <definedName name="densopool" localSheetId="7">'[18]harga lama'!#REF!</definedName>
    <definedName name="densopool" localSheetId="8">'[18]harga lama'!#REF!</definedName>
    <definedName name="densopool" localSheetId="16">'[18]harga lama'!#REF!</definedName>
    <definedName name="densopool" localSheetId="9">'[18]harga lama'!#REF!</definedName>
    <definedName name="densopool">'[18]harga lama'!#REF!</definedName>
    <definedName name="densotape" localSheetId="7">'[18]harga lama'!#REF!</definedName>
    <definedName name="densotape" localSheetId="8">'[18]harga lama'!#REF!</definedName>
    <definedName name="densotape" localSheetId="16">'[18]harga lama'!#REF!</definedName>
    <definedName name="densotape" localSheetId="9">'[18]harga lama'!#REF!</definedName>
    <definedName name="densotape">'[18]harga lama'!#REF!</definedName>
    <definedName name="div" localSheetId="1">#REF!</definedName>
    <definedName name="div" localSheetId="7">#REF!</definedName>
    <definedName name="div" localSheetId="8">#REF!</definedName>
    <definedName name="div" localSheetId="16">#REF!</definedName>
    <definedName name="div" localSheetId="9">#REF!</definedName>
    <definedName name="div">#REF!</definedName>
    <definedName name="DRAINASE">'[7]Kuantitas &amp; Harga'!$A$31:$H$52</definedName>
    <definedName name="drkeet" localSheetId="1">#REF!</definedName>
    <definedName name="drkeet" localSheetId="7">#REF!</definedName>
    <definedName name="drkeet" localSheetId="8">#REF!</definedName>
    <definedName name="drkeet" localSheetId="16">#REF!</definedName>
    <definedName name="drkeet" localSheetId="9">#REF!</definedName>
    <definedName name="drkeet">#REF!</definedName>
    <definedName name="drumpencampur" localSheetId="1">#REF!</definedName>
    <definedName name="drumpencampur" localSheetId="7">#REF!</definedName>
    <definedName name="drumpencampur" localSheetId="8">#REF!</definedName>
    <definedName name="drumpencampur" localSheetId="16">#REF!</definedName>
    <definedName name="drumpencampur" localSheetId="0">#REF!</definedName>
    <definedName name="drumpencampur" localSheetId="9">#REF!</definedName>
    <definedName name="drumpencampur">#REF!</definedName>
    <definedName name="drumpenyemprot" localSheetId="7">#REF!</definedName>
    <definedName name="drumpenyemprot" localSheetId="8">#REF!</definedName>
    <definedName name="drumpenyemprot" localSheetId="16">#REF!</definedName>
    <definedName name="drumpenyemprot" localSheetId="0">#REF!</definedName>
    <definedName name="drumpenyemprot" localSheetId="9">#REF!</definedName>
    <definedName name="drumpenyemprot">#REF!</definedName>
    <definedName name="dsdw" localSheetId="7">#REF!</definedName>
    <definedName name="dsdw" localSheetId="8">#REF!</definedName>
    <definedName name="dsdw" localSheetId="16">#REF!</definedName>
    <definedName name="dsdw" localSheetId="0">#REF!</definedName>
    <definedName name="dsdw" localSheetId="9">#REF!</definedName>
    <definedName name="dsdw">#REF!</definedName>
    <definedName name="dt" localSheetId="7">'[31]DU&amp;B'!#REF!</definedName>
    <definedName name="dt" localSheetId="8">'[31]DU&amp;B'!#REF!</definedName>
    <definedName name="dt" localSheetId="16">'[31]DU&amp;B'!#REF!</definedName>
    <definedName name="dt" localSheetId="9">'[31]DU&amp;B'!#REF!</definedName>
    <definedName name="dt">'[31]DU&amp;B'!#REF!</definedName>
    <definedName name="DUMPTRUCK1">'[11]An. Alat'!$A$119:$J$177</definedName>
    <definedName name="DUMPTRUCK2">'[11]An. Alat'!$A$178:$J$236</definedName>
    <definedName name="DUMPTRUCK321" localSheetId="1">#REF!</definedName>
    <definedName name="DUMPTRUCK321" localSheetId="7">#REF!</definedName>
    <definedName name="DUMPTRUCK321" localSheetId="8">#REF!</definedName>
    <definedName name="DUMPTRUCK321" localSheetId="16">#REF!</definedName>
    <definedName name="DUMPTRUCK321" localSheetId="9">#REF!</definedName>
    <definedName name="DUMPTRUCK321">#REF!</definedName>
    <definedName name="DUMPTRUCK511" localSheetId="7">#REF!</definedName>
    <definedName name="DUMPTRUCK511" localSheetId="8">#REF!</definedName>
    <definedName name="DUMPTRUCK511" localSheetId="16">#REF!</definedName>
    <definedName name="DUMPTRUCK511" localSheetId="9">#REF!</definedName>
    <definedName name="DUMPTRUCK511">#REF!</definedName>
    <definedName name="DUMPTRUCK512" localSheetId="7">#REF!</definedName>
    <definedName name="DUMPTRUCK512" localSheetId="8">#REF!</definedName>
    <definedName name="DUMPTRUCK512" localSheetId="16">#REF!</definedName>
    <definedName name="DUMPTRUCK512" localSheetId="9">#REF!</definedName>
    <definedName name="DUMPTRUCK512">#REF!</definedName>
    <definedName name="DUMPTRUCK521" localSheetId="7">#REF!</definedName>
    <definedName name="DUMPTRUCK521" localSheetId="8">#REF!</definedName>
    <definedName name="DUMPTRUCK521" localSheetId="16">#REF!</definedName>
    <definedName name="DUMPTRUCK521" localSheetId="9">#REF!</definedName>
    <definedName name="DUMPTRUCK521">#REF!</definedName>
    <definedName name="dumptruck5ton" localSheetId="7">#REF!</definedName>
    <definedName name="dumptruck5ton" localSheetId="8">#REF!</definedName>
    <definedName name="dumptruck5ton" localSheetId="16">#REF!</definedName>
    <definedName name="dumptruck5ton" localSheetId="0">#REF!</definedName>
    <definedName name="dumptruck5ton" localSheetId="9">#REF!</definedName>
    <definedName name="dumptruck5ton">#REF!</definedName>
    <definedName name="DUMPTRUCK611" localSheetId="7">#REF!</definedName>
    <definedName name="DUMPTRUCK611" localSheetId="8">#REF!</definedName>
    <definedName name="DUMPTRUCK611" localSheetId="16">#REF!</definedName>
    <definedName name="DUMPTRUCK611" localSheetId="9">#REF!</definedName>
    <definedName name="DUMPTRUCK611">#REF!</definedName>
    <definedName name="DUMPTRUCK818" localSheetId="7">#REF!</definedName>
    <definedName name="DUMPTRUCK818" localSheetId="8">#REF!</definedName>
    <definedName name="DUMPTRUCK818" localSheetId="16">#REF!</definedName>
    <definedName name="DUMPTRUCK818" localSheetId="9">#REF!</definedName>
    <definedName name="DUMPTRUCK818">#REF!</definedName>
    <definedName name="DUMPTRUCK819" localSheetId="7">#REF!</definedName>
    <definedName name="DUMPTRUCK819" localSheetId="8">#REF!</definedName>
    <definedName name="DUMPTRUCK819" localSheetId="16">#REF!</definedName>
    <definedName name="DUMPTRUCK819" localSheetId="9">#REF!</definedName>
    <definedName name="DUMPTRUCK819">#REF!</definedName>
    <definedName name="e" localSheetId="7">#REF!</definedName>
    <definedName name="e" localSheetId="8">#REF!</definedName>
    <definedName name="e" localSheetId="16">#REF!</definedName>
    <definedName name="e" localSheetId="0">#REF!</definedName>
    <definedName name="e" localSheetId="9">#REF!</definedName>
    <definedName name="e">#REF!</definedName>
    <definedName name="E." localSheetId="7">#REF!</definedName>
    <definedName name="E." localSheetId="8">#REF!</definedName>
    <definedName name="E." localSheetId="16">#REF!</definedName>
    <definedName name="E." localSheetId="9">#REF!</definedName>
    <definedName name="E.">#REF!</definedName>
    <definedName name="E.001" localSheetId="7">#REF!</definedName>
    <definedName name="E.001" localSheetId="8">#REF!</definedName>
    <definedName name="E.001" localSheetId="16">#REF!</definedName>
    <definedName name="E.001" localSheetId="9">#REF!</definedName>
    <definedName name="E.001">#REF!</definedName>
    <definedName name="e.002">'[1]Upah&amp;Bahan'!$U$205</definedName>
    <definedName name="E.010" localSheetId="1">#REF!</definedName>
    <definedName name="E.010" localSheetId="7">#REF!</definedName>
    <definedName name="E.010" localSheetId="8">#REF!</definedName>
    <definedName name="E.010" localSheetId="16">#REF!</definedName>
    <definedName name="E.010" localSheetId="9">#REF!</definedName>
    <definedName name="E.010">#REF!</definedName>
    <definedName name="e.011">'[1]Upah&amp;Bahan'!$U$261</definedName>
    <definedName name="E.031" localSheetId="1">#REF!</definedName>
    <definedName name="E.031" localSheetId="7">#REF!</definedName>
    <definedName name="E.031" localSheetId="8">#REF!</definedName>
    <definedName name="E.031" localSheetId="16">#REF!</definedName>
    <definedName name="E.031" localSheetId="9">#REF!</definedName>
    <definedName name="E.031">#REF!</definedName>
    <definedName name="e.032">'[1]Upah&amp;Bahan'!$U$317</definedName>
    <definedName name="E.040" localSheetId="1">#REF!</definedName>
    <definedName name="E.040" localSheetId="7">#REF!</definedName>
    <definedName name="E.040" localSheetId="8">#REF!</definedName>
    <definedName name="E.040" localSheetId="16">#REF!</definedName>
    <definedName name="E.040" localSheetId="9">#REF!</definedName>
    <definedName name="E.040">#REF!</definedName>
    <definedName name="e.041">'[1]Upah&amp;Bahan'!$U$1493</definedName>
    <definedName name="e.049">'[3]Upah&amp;Bahan'!$U$1493</definedName>
    <definedName name="e.051">'[1]Upah&amp;Bahan'!$U$373</definedName>
    <definedName name="E.052" localSheetId="1">#REF!</definedName>
    <definedName name="E.052" localSheetId="7">#REF!</definedName>
    <definedName name="E.052" localSheetId="8">#REF!</definedName>
    <definedName name="E.052" localSheetId="16">#REF!</definedName>
    <definedName name="E.052" localSheetId="9">#REF!</definedName>
    <definedName name="E.052">#REF!</definedName>
    <definedName name="E.053" localSheetId="7">#REF!</definedName>
    <definedName name="E.053" localSheetId="8">#REF!</definedName>
    <definedName name="E.053" localSheetId="16">#REF!</definedName>
    <definedName name="E.053" localSheetId="9">#REF!</definedName>
    <definedName name="E.053">#REF!</definedName>
    <definedName name="e.054">'[1]Upah&amp;Bahan'!$U$429</definedName>
    <definedName name="e.059">'[3]Upah&amp;Bahan'!$U$373</definedName>
    <definedName name="E.080" localSheetId="1">#REF!</definedName>
    <definedName name="E.080" localSheetId="7">#REF!</definedName>
    <definedName name="E.080" localSheetId="8">#REF!</definedName>
    <definedName name="E.080" localSheetId="16">#REF!</definedName>
    <definedName name="E.080" localSheetId="9">#REF!</definedName>
    <definedName name="E.080">#REF!</definedName>
    <definedName name="E.081" localSheetId="7">#REF!</definedName>
    <definedName name="E.081" localSheetId="8">#REF!</definedName>
    <definedName name="E.081" localSheetId="16">#REF!</definedName>
    <definedName name="E.081" localSheetId="9">#REF!</definedName>
    <definedName name="E.081">#REF!</definedName>
    <definedName name="E.082" localSheetId="7">#REF!</definedName>
    <definedName name="E.082" localSheetId="8">#REF!</definedName>
    <definedName name="E.082" localSheetId="16">#REF!</definedName>
    <definedName name="E.082" localSheetId="9">#REF!</definedName>
    <definedName name="E.082">#REF!</definedName>
    <definedName name="e.083">'[1]Upah&amp;Bahan'!$U$485</definedName>
    <definedName name="E.084" localSheetId="1">#REF!</definedName>
    <definedName name="E.084" localSheetId="7">#REF!</definedName>
    <definedName name="E.084" localSheetId="8">#REF!</definedName>
    <definedName name="E.084" localSheetId="16">#REF!</definedName>
    <definedName name="E.084" localSheetId="9">#REF!</definedName>
    <definedName name="E.084">#REF!</definedName>
    <definedName name="e.085">'[1]Upah&amp;Bahan'!$U$541</definedName>
    <definedName name="e.086">'[1]Upah&amp;Bahan'!$U$597</definedName>
    <definedName name="E.087" localSheetId="1">#REF!</definedName>
    <definedName name="E.087" localSheetId="7">#REF!</definedName>
    <definedName name="E.087" localSheetId="8">#REF!</definedName>
    <definedName name="E.087" localSheetId="16">#REF!</definedName>
    <definedName name="E.087" localSheetId="9">#REF!</definedName>
    <definedName name="E.087">#REF!</definedName>
    <definedName name="E.088" localSheetId="7">#REF!</definedName>
    <definedName name="E.088" localSheetId="8">#REF!</definedName>
    <definedName name="E.088" localSheetId="16">#REF!</definedName>
    <definedName name="E.088" localSheetId="9">#REF!</definedName>
    <definedName name="E.088">#REF!</definedName>
    <definedName name="E.089" localSheetId="7">#REF!</definedName>
    <definedName name="E.089" localSheetId="8">#REF!</definedName>
    <definedName name="E.089" localSheetId="16">#REF!</definedName>
    <definedName name="E.089" localSheetId="9">#REF!</definedName>
    <definedName name="E.089">#REF!</definedName>
    <definedName name="E.091" localSheetId="7">#REF!</definedName>
    <definedName name="E.091" localSheetId="8">#REF!</definedName>
    <definedName name="E.091" localSheetId="16">#REF!</definedName>
    <definedName name="E.091" localSheetId="9">#REF!</definedName>
    <definedName name="E.091">#REF!</definedName>
    <definedName name="e.105">'[3]Upah&amp;Bahan'!$U$1269</definedName>
    <definedName name="e.106">'[3]Upah&amp;Bahan'!$U$1325</definedName>
    <definedName name="e.107">'[3]Upah&amp;Bahan'!$U$1381</definedName>
    <definedName name="e.108">'[3]Upah&amp;Bahan'!$U$1437</definedName>
    <definedName name="e.109" localSheetId="4">'[3]Kuantitas &amp; Harga'!#REF!</definedName>
    <definedName name="e.109" localSheetId="1">'[3]Kuantitas &amp; Harga'!#REF!</definedName>
    <definedName name="e.109" localSheetId="7">'[3]Kuantitas &amp; Harga'!#REF!</definedName>
    <definedName name="e.109" localSheetId="8">'[3]Kuantitas &amp; Harga'!#REF!</definedName>
    <definedName name="e.109" localSheetId="16">'[3]Kuantitas &amp; Harga'!#REF!</definedName>
    <definedName name="e.109" localSheetId="9">'[3]Kuantitas &amp; Harga'!#REF!</definedName>
    <definedName name="e.109">'[3]Kuantitas &amp; Harga'!#REF!</definedName>
    <definedName name="E.13" localSheetId="1">#REF!</definedName>
    <definedName name="E.13" localSheetId="7">#REF!</definedName>
    <definedName name="E.13" localSheetId="8">#REF!</definedName>
    <definedName name="E.13" localSheetId="16">#REF!</definedName>
    <definedName name="E.13" localSheetId="9">#REF!</definedName>
    <definedName name="E.13">#REF!</definedName>
    <definedName name="e.152" localSheetId="7">#REF!</definedName>
    <definedName name="e.152" localSheetId="8">#REF!</definedName>
    <definedName name="e.152" localSheetId="16">#REF!</definedName>
    <definedName name="e.152" localSheetId="9">#REF!</definedName>
    <definedName name="e.152">#REF!</definedName>
    <definedName name="E.153" localSheetId="7">#REF!</definedName>
    <definedName name="E.153" localSheetId="8">#REF!</definedName>
    <definedName name="E.153" localSheetId="16">#REF!</definedName>
    <definedName name="E.153" localSheetId="9">#REF!</definedName>
    <definedName name="E.153">#REF!</definedName>
    <definedName name="E.154" localSheetId="7">#REF!</definedName>
    <definedName name="E.154" localSheetId="8">#REF!</definedName>
    <definedName name="E.154" localSheetId="16">#REF!</definedName>
    <definedName name="E.154" localSheetId="9">#REF!</definedName>
    <definedName name="E.154">#REF!</definedName>
    <definedName name="E.155" localSheetId="7">#REF!</definedName>
    <definedName name="E.155" localSheetId="8">#REF!</definedName>
    <definedName name="E.155" localSheetId="16">#REF!</definedName>
    <definedName name="E.155" localSheetId="9">#REF!</definedName>
    <definedName name="E.155">#REF!</definedName>
    <definedName name="e.156">'[1]Upah&amp;Bahan'!$U$1549</definedName>
    <definedName name="E.157" localSheetId="1">#REF!</definedName>
    <definedName name="E.157" localSheetId="7">#REF!</definedName>
    <definedName name="E.157" localSheetId="8">#REF!</definedName>
    <definedName name="E.157" localSheetId="16">#REF!</definedName>
    <definedName name="E.157" localSheetId="9">#REF!</definedName>
    <definedName name="E.157">#REF!</definedName>
    <definedName name="e.159" localSheetId="7">#REF!</definedName>
    <definedName name="e.159" localSheetId="8">#REF!</definedName>
    <definedName name="e.159" localSheetId="16">#REF!</definedName>
    <definedName name="e.159" localSheetId="9">#REF!</definedName>
    <definedName name="e.159">#REF!</definedName>
    <definedName name="E.182" localSheetId="7">#REF!</definedName>
    <definedName name="E.182" localSheetId="8">#REF!</definedName>
    <definedName name="E.182" localSheetId="16">#REF!</definedName>
    <definedName name="E.182" localSheetId="9">#REF!</definedName>
    <definedName name="E.182">#REF!</definedName>
    <definedName name="e.190" localSheetId="7">#REF!</definedName>
    <definedName name="e.190" localSheetId="8">#REF!</definedName>
    <definedName name="e.190" localSheetId="16">#REF!</definedName>
    <definedName name="e.190" localSheetId="9">#REF!</definedName>
    <definedName name="e.190">#REF!</definedName>
    <definedName name="E.2" localSheetId="7">#REF!</definedName>
    <definedName name="E.2" localSheetId="8">#REF!</definedName>
    <definedName name="E.2" localSheetId="16">#REF!</definedName>
    <definedName name="E.2" localSheetId="9">#REF!</definedName>
    <definedName name="E.2">#REF!</definedName>
    <definedName name="e.211" localSheetId="7">#REF!</definedName>
    <definedName name="e.211" localSheetId="8">#REF!</definedName>
    <definedName name="e.211" localSheetId="16">#REF!</definedName>
    <definedName name="e.211" localSheetId="9">#REF!</definedName>
    <definedName name="e.211">#REF!</definedName>
    <definedName name="E.212" localSheetId="7">#REF!</definedName>
    <definedName name="E.212" localSheetId="8">#REF!</definedName>
    <definedName name="E.212" localSheetId="16">#REF!</definedName>
    <definedName name="E.212" localSheetId="9">#REF!</definedName>
    <definedName name="E.212">#REF!</definedName>
    <definedName name="E.213" localSheetId="7">#REF!</definedName>
    <definedName name="E.213" localSheetId="8">#REF!</definedName>
    <definedName name="E.213" localSheetId="16">#REF!</definedName>
    <definedName name="E.213" localSheetId="9">#REF!</definedName>
    <definedName name="E.213">#REF!</definedName>
    <definedName name="e.214" localSheetId="7">#REF!</definedName>
    <definedName name="e.214" localSheetId="8">#REF!</definedName>
    <definedName name="e.214" localSheetId="16">#REF!</definedName>
    <definedName name="e.214" localSheetId="9">#REF!</definedName>
    <definedName name="e.214">#REF!</definedName>
    <definedName name="E.221" localSheetId="7">#REF!</definedName>
    <definedName name="E.221" localSheetId="8">#REF!</definedName>
    <definedName name="E.221" localSheetId="16">#REF!</definedName>
    <definedName name="E.221" localSheetId="9">#REF!</definedName>
    <definedName name="E.221">#REF!</definedName>
    <definedName name="e.225" localSheetId="7">#REF!</definedName>
    <definedName name="e.225" localSheetId="8">#REF!</definedName>
    <definedName name="e.225" localSheetId="16">#REF!</definedName>
    <definedName name="e.225" localSheetId="9">#REF!</definedName>
    <definedName name="e.225">#REF!</definedName>
    <definedName name="E.251" localSheetId="7">#REF!</definedName>
    <definedName name="E.251" localSheetId="8">#REF!</definedName>
    <definedName name="E.251" localSheetId="16">#REF!</definedName>
    <definedName name="E.251" localSheetId="9">#REF!</definedName>
    <definedName name="E.251">#REF!</definedName>
    <definedName name="E.252" localSheetId="7">#REF!</definedName>
    <definedName name="E.252" localSheetId="8">#REF!</definedName>
    <definedName name="E.252" localSheetId="16">#REF!</definedName>
    <definedName name="E.252" localSheetId="9">#REF!</definedName>
    <definedName name="E.252">#REF!</definedName>
    <definedName name="E.253" localSheetId="7">#REF!</definedName>
    <definedName name="E.253" localSheetId="8">#REF!</definedName>
    <definedName name="E.253" localSheetId="16">#REF!</definedName>
    <definedName name="E.253" localSheetId="9">#REF!</definedName>
    <definedName name="E.253">#REF!</definedName>
    <definedName name="e.254" localSheetId="7">#REF!</definedName>
    <definedName name="e.254" localSheetId="8">#REF!</definedName>
    <definedName name="e.254" localSheetId="16">#REF!</definedName>
    <definedName name="e.254" localSheetId="9">#REF!</definedName>
    <definedName name="e.254">#REF!</definedName>
    <definedName name="e.255" localSheetId="7">#REF!</definedName>
    <definedName name="e.255" localSheetId="8">#REF!</definedName>
    <definedName name="e.255" localSheetId="16">#REF!</definedName>
    <definedName name="e.255" localSheetId="9">#REF!</definedName>
    <definedName name="e.255">#REF!</definedName>
    <definedName name="e.258" localSheetId="7">#REF!</definedName>
    <definedName name="e.258" localSheetId="8">#REF!</definedName>
    <definedName name="e.258" localSheetId="16">#REF!</definedName>
    <definedName name="e.258" localSheetId="9">#REF!</definedName>
    <definedName name="e.258">#REF!</definedName>
    <definedName name="e.259" localSheetId="7">#REF!</definedName>
    <definedName name="e.259" localSheetId="8">#REF!</definedName>
    <definedName name="e.259" localSheetId="16">#REF!</definedName>
    <definedName name="e.259" localSheetId="9">#REF!</definedName>
    <definedName name="e.259">#REF!</definedName>
    <definedName name="E.301" localSheetId="7">#REF!</definedName>
    <definedName name="E.301" localSheetId="8">#REF!</definedName>
    <definedName name="E.301" localSheetId="16">#REF!</definedName>
    <definedName name="E.301" localSheetId="9">#REF!</definedName>
    <definedName name="E.301">#REF!</definedName>
    <definedName name="E.341" localSheetId="7">#REF!</definedName>
    <definedName name="E.341" localSheetId="8">#REF!</definedName>
    <definedName name="E.341" localSheetId="16">#REF!</definedName>
    <definedName name="E.341" localSheetId="9">#REF!</definedName>
    <definedName name="E.341">#REF!</definedName>
    <definedName name="E.401" localSheetId="7">#REF!</definedName>
    <definedName name="E.401" localSheetId="8">#REF!</definedName>
    <definedName name="E.401" localSheetId="16">#REF!</definedName>
    <definedName name="E.401" localSheetId="9">#REF!</definedName>
    <definedName name="E.401">#REF!</definedName>
    <definedName name="e.402" localSheetId="7">#REF!</definedName>
    <definedName name="e.402" localSheetId="8">#REF!</definedName>
    <definedName name="e.402" localSheetId="16">#REF!</definedName>
    <definedName name="e.402" localSheetId="9">#REF!</definedName>
    <definedName name="e.402">#REF!</definedName>
    <definedName name="e.500" localSheetId="7">'[3]Kuantitas &amp; Harga'!#REF!</definedName>
    <definedName name="e.500" localSheetId="8">'[3]Kuantitas &amp; Harga'!#REF!</definedName>
    <definedName name="e.500" localSheetId="16">'[3]Kuantitas &amp; Harga'!#REF!</definedName>
    <definedName name="e.500" localSheetId="9">'[3]Kuantitas &amp; Harga'!#REF!</definedName>
    <definedName name="e.500">'[3]Kuantitas &amp; Harga'!#REF!</definedName>
    <definedName name="e.58">'[3]Upah&amp;Bahan'!$U$429</definedName>
    <definedName name="e.90">'[3]Upah&amp;Bahan'!$U$709</definedName>
    <definedName name="e.91">'[3]Upah&amp;Bahan'!$U$765</definedName>
    <definedName name="e.92">'[3]Upah&amp;Bahan'!$U$821</definedName>
    <definedName name="e.93">'[3]Upah&amp;Bahan'!$U$1672</definedName>
    <definedName name="e.94">'[3]Upah&amp;Bahan'!$U$877</definedName>
    <definedName name="e.97">'[3]Upah&amp;Bahan'!$U$1549</definedName>
    <definedName name="e.98">'[3]Upah&amp;Bahan'!$U$933</definedName>
    <definedName name="e.99">'[3]Upah&amp;Bahan'!$U$989</definedName>
    <definedName name="e.kamu">'[3]Upah&amp;Bahan'!$U$485</definedName>
    <definedName name="e.kemana">'[3]Upah&amp;Bahan'!$U$597</definedName>
    <definedName name="e.mau">'[3]Upah&amp;Bahan'!$U$541</definedName>
    <definedName name="e.syal">'[3]Upah&amp;Bahan'!$U$653</definedName>
    <definedName name="ecrazy">'[1]Upah&amp;Bahan'!$U$877</definedName>
    <definedName name="ember" localSheetId="1">#REF!</definedName>
    <definedName name="ember" localSheetId="7">#REF!</definedName>
    <definedName name="ember" localSheetId="8">#REF!</definedName>
    <definedName name="ember" localSheetId="16">#REF!</definedName>
    <definedName name="ember" localSheetId="9">#REF!</definedName>
    <definedName name="ember">#REF!</definedName>
    <definedName name="Engsel" localSheetId="1">[29]cover!#REF!</definedName>
    <definedName name="Engsel" localSheetId="7">[30]cover!#REF!</definedName>
    <definedName name="Engsel" localSheetId="8">[30]cover!#REF!</definedName>
    <definedName name="Engsel" localSheetId="16">[30]cover!#REF!</definedName>
    <definedName name="Engsel" localSheetId="0">[30]cover!#REF!</definedName>
    <definedName name="Engsel" localSheetId="9">[30]cover!#REF!</definedName>
    <definedName name="Engsel">[30]cover!#REF!</definedName>
    <definedName name="engseljendela" localSheetId="1">[29]cover!#REF!</definedName>
    <definedName name="engseljendela" localSheetId="7">[30]cover!#REF!</definedName>
    <definedName name="engseljendela" localSheetId="8">[30]cover!#REF!</definedName>
    <definedName name="engseljendela" localSheetId="16">[30]cover!#REF!</definedName>
    <definedName name="engseljendela" localSheetId="0">[30]cover!#REF!</definedName>
    <definedName name="engseljendela" localSheetId="9">[30]cover!#REF!</definedName>
    <definedName name="engseljendela">[30]cover!#REF!</definedName>
    <definedName name="Engselpintu" localSheetId="1">[29]cover!#REF!</definedName>
    <definedName name="Engselpintu" localSheetId="7">[30]cover!#REF!</definedName>
    <definedName name="Engselpintu" localSheetId="8">[30]cover!#REF!</definedName>
    <definedName name="Engselpintu" localSheetId="16">[30]cover!#REF!</definedName>
    <definedName name="Engselpintu" localSheetId="0">[30]cover!#REF!</definedName>
    <definedName name="Engselpintu" localSheetId="9">[30]cover!#REF!</definedName>
    <definedName name="Engselpintu">[30]cover!#REF!</definedName>
    <definedName name="Epoxiresin" localSheetId="7">'[18]harga lama'!#REF!</definedName>
    <definedName name="Epoxiresin" localSheetId="8">'[18]harga lama'!#REF!</definedName>
    <definedName name="Epoxiresin" localSheetId="16">'[18]harga lama'!#REF!</definedName>
    <definedName name="Epoxiresin" localSheetId="9">'[18]harga lama'!#REF!</definedName>
    <definedName name="Epoxiresin">'[18]harga lama'!#REF!</definedName>
    <definedName name="ex" localSheetId="7">'[31]DU&amp;B'!#REF!</definedName>
    <definedName name="ex" localSheetId="8">'[31]DU&amp;B'!#REF!</definedName>
    <definedName name="ex" localSheetId="16">'[31]DU&amp;B'!#REF!</definedName>
    <definedName name="ex" localSheetId="9">'[31]DU&amp;B'!#REF!</definedName>
    <definedName name="ex">'[31]DU&amp;B'!#REF!</definedName>
    <definedName name="exc" localSheetId="7">'[45]DU&amp;B'!#REF!</definedName>
    <definedName name="exc" localSheetId="8">'[45]DU&amp;B'!#REF!</definedName>
    <definedName name="exc" localSheetId="16">'[45]DU&amp;B'!#REF!</definedName>
    <definedName name="exc" localSheetId="9">'[45]DU&amp;B'!#REF!</definedName>
    <definedName name="exc">'[45]DU&amp;B'!#REF!</definedName>
    <definedName name="EXCAVATOR">'[11]An. Alat'!$A$237:$J$237</definedName>
    <definedName name="EXCAVATOR312" localSheetId="1">#REF!</definedName>
    <definedName name="EXCAVATOR312" localSheetId="7">#REF!</definedName>
    <definedName name="EXCAVATOR312" localSheetId="8">#REF!</definedName>
    <definedName name="EXCAVATOR312" localSheetId="16">#REF!</definedName>
    <definedName name="EXCAVATOR312" localSheetId="9">#REF!</definedName>
    <definedName name="EXCAVATOR312">#REF!</definedName>
    <definedName name="EXCAVATOR321" localSheetId="7">#REF!</definedName>
    <definedName name="EXCAVATOR321" localSheetId="8">#REF!</definedName>
    <definedName name="EXCAVATOR321" localSheetId="16">#REF!</definedName>
    <definedName name="EXCAVATOR321" localSheetId="9">#REF!</definedName>
    <definedName name="EXCAVATOR321">#REF!</definedName>
    <definedName name="exrate" localSheetId="7">#REF!</definedName>
    <definedName name="exrate" localSheetId="8">#REF!</definedName>
    <definedName name="exrate" localSheetId="16">#REF!</definedName>
    <definedName name="exrate" localSheetId="9">#REF!</definedName>
    <definedName name="exrate">#REF!</definedName>
    <definedName name="_xlnm.Extract" localSheetId="7">#REF!</definedName>
    <definedName name="_xlnm.Extract" localSheetId="8">#REF!</definedName>
    <definedName name="_xlnm.Extract" localSheetId="16">#REF!</definedName>
    <definedName name="_xlnm.Extract" localSheetId="9">#REF!</definedName>
    <definedName name="_xlnm.Extract">#REF!</definedName>
    <definedName name="f">'[1]Upah&amp;Bahan'!$U$1612</definedName>
    <definedName name="F." localSheetId="1">#REF!</definedName>
    <definedName name="F." localSheetId="7">#REF!</definedName>
    <definedName name="F." localSheetId="8">#REF!</definedName>
    <definedName name="F." localSheetId="16">#REF!</definedName>
    <definedName name="F." localSheetId="9">#REF!</definedName>
    <definedName name="F.">#REF!</definedName>
    <definedName name="F.1" localSheetId="7">#REF!</definedName>
    <definedName name="F.1" localSheetId="8">#REF!</definedName>
    <definedName name="F.1" localSheetId="16">#REF!</definedName>
    <definedName name="F.1" localSheetId="9">#REF!</definedName>
    <definedName name="F.1">#REF!</definedName>
    <definedName name="F.1a" localSheetId="1">#REF!</definedName>
    <definedName name="F.1a" localSheetId="7">#REF!</definedName>
    <definedName name="F.1a" localSheetId="8">#REF!</definedName>
    <definedName name="F.1a" localSheetId="16">#REF!</definedName>
    <definedName name="F.1a" localSheetId="0">#REF!</definedName>
    <definedName name="F.1a" localSheetId="9">#REF!</definedName>
    <definedName name="F.1a">#REF!</definedName>
    <definedName name="f.1b" localSheetId="7">#REF!</definedName>
    <definedName name="f.1b" localSheetId="8">#REF!</definedName>
    <definedName name="f.1b" localSheetId="16">#REF!</definedName>
    <definedName name="f.1b" localSheetId="0">#REF!</definedName>
    <definedName name="f.1b" localSheetId="9">#REF!</definedName>
    <definedName name="f.1b">#REF!</definedName>
    <definedName name="F.1c" localSheetId="7">#REF!</definedName>
    <definedName name="F.1c" localSheetId="8">#REF!</definedName>
    <definedName name="F.1c" localSheetId="16">#REF!</definedName>
    <definedName name="F.1c" localSheetId="0">#REF!</definedName>
    <definedName name="F.1c" localSheetId="9">#REF!</definedName>
    <definedName name="F.1c">#REF!</definedName>
    <definedName name="F.1d" localSheetId="7">#REF!</definedName>
    <definedName name="F.1d" localSheetId="8">#REF!</definedName>
    <definedName name="F.1d" localSheetId="16">#REF!</definedName>
    <definedName name="F.1d" localSheetId="0">#REF!</definedName>
    <definedName name="F.1d" localSheetId="9">#REF!</definedName>
    <definedName name="F.1d">#REF!</definedName>
    <definedName name="F.21" localSheetId="7">#REF!</definedName>
    <definedName name="F.21" localSheetId="8">#REF!</definedName>
    <definedName name="F.21" localSheetId="16">#REF!</definedName>
    <definedName name="F.21" localSheetId="0">#REF!</definedName>
    <definedName name="F.21" localSheetId="9">#REF!</definedName>
    <definedName name="F.21">#REF!</definedName>
    <definedName name="F.21A" localSheetId="7">#REF!</definedName>
    <definedName name="F.21A" localSheetId="8">#REF!</definedName>
    <definedName name="F.21A" localSheetId="16">#REF!</definedName>
    <definedName name="F.21A" localSheetId="9">#REF!</definedName>
    <definedName name="F.21A">#REF!</definedName>
    <definedName name="F.22" localSheetId="7">#REF!</definedName>
    <definedName name="F.22" localSheetId="8">#REF!</definedName>
    <definedName name="F.22" localSheetId="16">#REF!</definedName>
    <definedName name="F.22" localSheetId="0">#REF!</definedName>
    <definedName name="F.22" localSheetId="9">#REF!</definedName>
    <definedName name="F.22">#REF!</definedName>
    <definedName name="F.26" localSheetId="7">#REF!</definedName>
    <definedName name="F.26" localSheetId="8">#REF!</definedName>
    <definedName name="F.26" localSheetId="16">#REF!</definedName>
    <definedName name="F.26" localSheetId="0">#REF!</definedName>
    <definedName name="F.26" localSheetId="9">#REF!</definedName>
    <definedName name="F.26">#REF!</definedName>
    <definedName name="F.27" localSheetId="7">#REF!</definedName>
    <definedName name="F.27" localSheetId="8">#REF!</definedName>
    <definedName name="F.27" localSheetId="16">#REF!</definedName>
    <definedName name="F.27" localSheetId="9">#REF!</definedName>
    <definedName name="F.27">#REF!</definedName>
    <definedName name="F.33a" localSheetId="7">#REF!</definedName>
    <definedName name="F.33a" localSheetId="8">#REF!</definedName>
    <definedName name="F.33a" localSheetId="16">#REF!</definedName>
    <definedName name="F.33a" localSheetId="0">#REF!</definedName>
    <definedName name="F.33a" localSheetId="9">#REF!</definedName>
    <definedName name="F.33a">#REF!</definedName>
    <definedName name="F.33b" localSheetId="7">#REF!</definedName>
    <definedName name="F.33b" localSheetId="8">#REF!</definedName>
    <definedName name="F.33b" localSheetId="16">#REF!</definedName>
    <definedName name="F.33b" localSheetId="0">#REF!</definedName>
    <definedName name="F.33b" localSheetId="9">#REF!</definedName>
    <definedName name="F.33b">#REF!</definedName>
    <definedName name="F.33c" localSheetId="7">#REF!</definedName>
    <definedName name="F.33c" localSheetId="8">#REF!</definedName>
    <definedName name="F.33c" localSheetId="16">#REF!</definedName>
    <definedName name="F.33c" localSheetId="0">#REF!</definedName>
    <definedName name="F.33c" localSheetId="9">#REF!</definedName>
    <definedName name="F.33c">#REF!</definedName>
    <definedName name="F.33D" localSheetId="7">#REF!</definedName>
    <definedName name="F.33D" localSheetId="8">#REF!</definedName>
    <definedName name="F.33D" localSheetId="16">#REF!</definedName>
    <definedName name="F.33D" localSheetId="9">#REF!</definedName>
    <definedName name="F.33D">#REF!</definedName>
    <definedName name="F.34" localSheetId="7">#REF!</definedName>
    <definedName name="F.34" localSheetId="8">#REF!</definedName>
    <definedName name="F.34" localSheetId="16">#REF!</definedName>
    <definedName name="F.34" localSheetId="0">#REF!</definedName>
    <definedName name="F.34" localSheetId="9">#REF!</definedName>
    <definedName name="F.34">#REF!</definedName>
    <definedName name="F.36" localSheetId="7">#REF!</definedName>
    <definedName name="F.36" localSheetId="8">#REF!</definedName>
    <definedName name="F.36" localSheetId="16">#REF!</definedName>
    <definedName name="F.36" localSheetId="0">#REF!</definedName>
    <definedName name="F.36" localSheetId="9">#REF!</definedName>
    <definedName name="F.36">#REF!</definedName>
    <definedName name="F.6A" localSheetId="7">#REF!</definedName>
    <definedName name="F.6A" localSheetId="8">#REF!</definedName>
    <definedName name="F.6A" localSheetId="16">#REF!</definedName>
    <definedName name="F.6A" localSheetId="9">#REF!</definedName>
    <definedName name="F.6A">#REF!</definedName>
    <definedName name="F.8" localSheetId="7">#REF!</definedName>
    <definedName name="F.8" localSheetId="8">#REF!</definedName>
    <definedName name="F.8" localSheetId="16">#REF!</definedName>
    <definedName name="F.8" localSheetId="9">#REF!</definedName>
    <definedName name="F.8">#REF!</definedName>
    <definedName name="F.8A" localSheetId="7">#REF!</definedName>
    <definedName name="F.8A" localSheetId="8">#REF!</definedName>
    <definedName name="F.8A" localSheetId="16">#REF!</definedName>
    <definedName name="F.8A" localSheetId="9">#REF!</definedName>
    <definedName name="F.8A">#REF!</definedName>
    <definedName name="f.drain" localSheetId="7">#REF!</definedName>
    <definedName name="f.drain" localSheetId="8">#REF!</definedName>
    <definedName name="f.drain" localSheetId="16">#REF!</definedName>
    <definedName name="f.drain" localSheetId="9">#REF!</definedName>
    <definedName name="f.drain">#REF!</definedName>
    <definedName name="FAC" localSheetId="7">#REF!</definedName>
    <definedName name="FAC" localSheetId="8">#REF!</definedName>
    <definedName name="FAC" localSheetId="16">#REF!</definedName>
    <definedName name="FAC" localSheetId="0">#REF!</definedName>
    <definedName name="FAC" localSheetId="9">#REF!</definedName>
    <definedName name="FAC">#REF!</definedName>
    <definedName name="fatimah">'[1]Upah&amp;Bahan'!$C$43</definedName>
    <definedName name="fendercell" localSheetId="4">'[18]harga lama'!#REF!</definedName>
    <definedName name="fendercell" localSheetId="1">'[18]harga lama'!#REF!</definedName>
    <definedName name="fendercell" localSheetId="7">'[18]harga lama'!#REF!</definedName>
    <definedName name="fendercell" localSheetId="8">'[18]harga lama'!#REF!</definedName>
    <definedName name="fendercell" localSheetId="16">'[18]harga lama'!#REF!</definedName>
    <definedName name="fendercell" localSheetId="9">'[18]harga lama'!#REF!</definedName>
    <definedName name="fendercell">'[18]harga lama'!#REF!</definedName>
    <definedName name="fenderv" localSheetId="1">'[18]harga lama'!#REF!</definedName>
    <definedName name="fenderv" localSheetId="7">'[18]harga lama'!#REF!</definedName>
    <definedName name="fenderv" localSheetId="8">'[18]harga lama'!#REF!</definedName>
    <definedName name="fenderv" localSheetId="16">'[18]harga lama'!#REF!</definedName>
    <definedName name="fenderv" localSheetId="9">'[18]harga lama'!#REF!</definedName>
    <definedName name="fenderv">'[18]harga lama'!#REF!</definedName>
    <definedName name="ferro" localSheetId="1">[33]Analisis!#REF!</definedName>
    <definedName name="ferro" localSheetId="7">[34]Analisis!#REF!</definedName>
    <definedName name="ferro" localSheetId="8">[34]Analisis!#REF!</definedName>
    <definedName name="ferro" localSheetId="16">[34]Analisis!#REF!</definedName>
    <definedName name="ferro" localSheetId="0">[34]Analisis!#REF!</definedName>
    <definedName name="ferro" localSheetId="9">[34]Analisis!#REF!</definedName>
    <definedName name="ferro">[34]Analisis!#REF!</definedName>
    <definedName name="ffff" localSheetId="1">[8]BPS!#REF!</definedName>
    <definedName name="ffff" localSheetId="7">[8]BPS!#REF!</definedName>
    <definedName name="ffff" localSheetId="8">[8]BPS!#REF!</definedName>
    <definedName name="ffff" localSheetId="16">[8]BPS!#REF!</definedName>
    <definedName name="ffff" localSheetId="0">[8]BPS!#REF!</definedName>
    <definedName name="ffff" localSheetId="9">[8]BPS!#REF!</definedName>
    <definedName name="ffff">[8]BPS!#REF!</definedName>
    <definedName name="Fibermesh" localSheetId="1">[29]cover!#REF!</definedName>
    <definedName name="Fibermesh" localSheetId="7">[30]cover!#REF!</definedName>
    <definedName name="Fibermesh" localSheetId="8">[30]cover!#REF!</definedName>
    <definedName name="Fibermesh" localSheetId="16">[30]cover!#REF!</definedName>
    <definedName name="Fibermesh" localSheetId="0">[30]cover!#REF!</definedName>
    <definedName name="Fibermesh" localSheetId="9">[30]cover!#REF!</definedName>
    <definedName name="Fibermesh">[30]cover!#REF!</definedName>
    <definedName name="filler" localSheetId="1">#REF!</definedName>
    <definedName name="filler" localSheetId="7">#REF!</definedName>
    <definedName name="filler" localSheetId="8">#REF!</definedName>
    <definedName name="filler" localSheetId="16">#REF!</definedName>
    <definedName name="filler" localSheetId="0">#REF!</definedName>
    <definedName name="filler" localSheetId="9">#REF!</definedName>
    <definedName name="filler">#REF!</definedName>
    <definedName name="fillerlatasir" localSheetId="7">#REF!</definedName>
    <definedName name="fillerlatasir" localSheetId="8">#REF!</definedName>
    <definedName name="fillerlatasir" localSheetId="16">#REF!</definedName>
    <definedName name="fillerlatasir" localSheetId="0">#REF!</definedName>
    <definedName name="fillerlatasir" localSheetId="9">#REF!</definedName>
    <definedName name="fillerlatasir">#REF!</definedName>
    <definedName name="filtercloth" localSheetId="7">'[18]harga lama'!#REF!</definedName>
    <definedName name="filtercloth" localSheetId="8">'[18]harga lama'!#REF!</definedName>
    <definedName name="filtercloth" localSheetId="16">'[18]harga lama'!#REF!</definedName>
    <definedName name="filtercloth" localSheetId="9">'[18]harga lama'!#REF!</definedName>
    <definedName name="filtercloth">'[18]harga lama'!#REF!</definedName>
    <definedName name="final" localSheetId="7">'[31]DU&amp;B'!#REF!</definedName>
    <definedName name="final" localSheetId="8">'[31]DU&amp;B'!#REF!</definedName>
    <definedName name="final" localSheetId="16">'[31]DU&amp;B'!#REF!</definedName>
    <definedName name="final" localSheetId="9">'[31]DU&amp;B'!#REF!</definedName>
    <definedName name="final">'[31]DU&amp;B'!#REF!</definedName>
    <definedName name="FINISHER" localSheetId="7">'[11]An. Alat'!#REF!</definedName>
    <definedName name="FINISHER" localSheetId="8">'[11]An. Alat'!#REF!</definedName>
    <definedName name="FINISHER" localSheetId="16">'[11]An. Alat'!#REF!</definedName>
    <definedName name="FINISHER" localSheetId="9">'[11]An. Alat'!#REF!</definedName>
    <definedName name="FINISHER">'[11]An. Alat'!#REF!</definedName>
    <definedName name="FLATBEDTRUCK" localSheetId="7">'[11]An. Alat'!#REF!</definedName>
    <definedName name="FLATBEDTRUCK" localSheetId="8">'[11]An. Alat'!#REF!</definedName>
    <definedName name="FLATBEDTRUCK" localSheetId="16">'[11]An. Alat'!#REF!</definedName>
    <definedName name="FLATBEDTRUCK" localSheetId="9">'[11]An. Alat'!#REF!</definedName>
    <definedName name="FLATBEDTRUCK">'[11]An. Alat'!#REF!</definedName>
    <definedName name="FORM1011">'[7]DIV.10 LS-Rutin'!$A$1:$K$65</definedName>
    <definedName name="FORM1012">'[7]DIV.10 LS-Rutin'!$A$66:$K$130</definedName>
    <definedName name="FORM1013">'[7]DIV.10 LS-Rutin'!$A$131:$K$195</definedName>
    <definedName name="FORM1014">'[7]DIV.10 LS-Rutin'!$A$196:$K$260</definedName>
    <definedName name="FORM1015">'[7]DIV.10 LS-Rutin'!$A$261:$K$325</definedName>
    <definedName name="FORM21" localSheetId="1">#REF!</definedName>
    <definedName name="FORM21" localSheetId="7">#REF!</definedName>
    <definedName name="FORM21" localSheetId="8">#REF!</definedName>
    <definedName name="FORM21" localSheetId="16">#REF!</definedName>
    <definedName name="FORM21" localSheetId="9">#REF!</definedName>
    <definedName name="FORM21">#REF!</definedName>
    <definedName name="FORM22E" localSheetId="7">#REF!</definedName>
    <definedName name="FORM22E" localSheetId="8">#REF!</definedName>
    <definedName name="FORM22E" localSheetId="16">#REF!</definedName>
    <definedName name="FORM22E" localSheetId="9">#REF!</definedName>
    <definedName name="FORM22E">#REF!</definedName>
    <definedName name="FORM22L" localSheetId="7">#REF!</definedName>
    <definedName name="FORM22L" localSheetId="8">#REF!</definedName>
    <definedName name="FORM22L" localSheetId="16">#REF!</definedName>
    <definedName name="FORM22L" localSheetId="9">#REF!</definedName>
    <definedName name="FORM22L">#REF!</definedName>
    <definedName name="FORM231" localSheetId="7">#REF!</definedName>
    <definedName name="FORM231" localSheetId="8">#REF!</definedName>
    <definedName name="FORM231" localSheetId="16">#REF!</definedName>
    <definedName name="FORM231" localSheetId="9">#REF!</definedName>
    <definedName name="FORM231">#REF!</definedName>
    <definedName name="FORM232" localSheetId="7">#REF!</definedName>
    <definedName name="FORM232" localSheetId="8">#REF!</definedName>
    <definedName name="FORM232" localSheetId="16">#REF!</definedName>
    <definedName name="FORM232" localSheetId="9">#REF!</definedName>
    <definedName name="FORM232">#REF!</definedName>
    <definedName name="FORM233" localSheetId="7">#REF!</definedName>
    <definedName name="FORM233" localSheetId="8">#REF!</definedName>
    <definedName name="FORM233" localSheetId="16">#REF!</definedName>
    <definedName name="FORM233" localSheetId="9">#REF!</definedName>
    <definedName name="FORM233">#REF!</definedName>
    <definedName name="Form234" localSheetId="7">#REF!</definedName>
    <definedName name="Form234" localSheetId="8">#REF!</definedName>
    <definedName name="Form234" localSheetId="16">#REF!</definedName>
    <definedName name="Form234" localSheetId="9">#REF!</definedName>
    <definedName name="Form234">#REF!</definedName>
    <definedName name="Form235" localSheetId="7">#REF!</definedName>
    <definedName name="Form235" localSheetId="8">#REF!</definedName>
    <definedName name="Form235" localSheetId="16">#REF!</definedName>
    <definedName name="Form235" localSheetId="9">#REF!</definedName>
    <definedName name="Form235">#REF!</definedName>
    <definedName name="Form236" localSheetId="7">#REF!</definedName>
    <definedName name="Form236" localSheetId="8">#REF!</definedName>
    <definedName name="Form236" localSheetId="16">#REF!</definedName>
    <definedName name="Form236" localSheetId="9">#REF!</definedName>
    <definedName name="Form236">#REF!</definedName>
    <definedName name="FORM241" localSheetId="7">#REF!</definedName>
    <definedName name="FORM241" localSheetId="8">#REF!</definedName>
    <definedName name="FORM241" localSheetId="16">#REF!</definedName>
    <definedName name="FORM241" localSheetId="9">#REF!</definedName>
    <definedName name="FORM241">#REF!</definedName>
    <definedName name="FORM242" localSheetId="7">#REF!</definedName>
    <definedName name="FORM242" localSheetId="8">#REF!</definedName>
    <definedName name="FORM242" localSheetId="16">#REF!</definedName>
    <definedName name="FORM242" localSheetId="9">#REF!</definedName>
    <definedName name="FORM242">#REF!</definedName>
    <definedName name="FORM243" localSheetId="7">#REF!</definedName>
    <definedName name="FORM243" localSheetId="8">#REF!</definedName>
    <definedName name="FORM243" localSheetId="16">#REF!</definedName>
    <definedName name="FORM243" localSheetId="9">#REF!</definedName>
    <definedName name="FORM243">#REF!</definedName>
    <definedName name="FORM311">'[7]DIV.3 NP'!$A$1:$K$60</definedName>
    <definedName name="FORM312" localSheetId="4">'[7]DIV.3 NP'!#REF!</definedName>
    <definedName name="FORM312" localSheetId="1">'[7]DIV.3 NP'!#REF!</definedName>
    <definedName name="FORM312" localSheetId="7">'[7]DIV.3 NP'!#REF!</definedName>
    <definedName name="FORM312" localSheetId="8">'[7]DIV.3 NP'!#REF!</definedName>
    <definedName name="FORM312" localSheetId="16">'[7]DIV.3 NP'!#REF!</definedName>
    <definedName name="FORM312" localSheetId="9">'[7]DIV.3 NP'!#REF!</definedName>
    <definedName name="FORM312">'[7]DIV.3 NP'!#REF!</definedName>
    <definedName name="FORM313" localSheetId="1">'[7]DIV.3 NP'!#REF!</definedName>
    <definedName name="FORM313" localSheetId="7">'[7]DIV.3 NP'!#REF!</definedName>
    <definedName name="FORM313" localSheetId="8">'[7]DIV.3 NP'!#REF!</definedName>
    <definedName name="FORM313" localSheetId="16">'[7]DIV.3 NP'!#REF!</definedName>
    <definedName name="FORM313" localSheetId="9">'[7]DIV.3 NP'!#REF!</definedName>
    <definedName name="FORM313">'[7]DIV.3 NP'!#REF!</definedName>
    <definedName name="FORM314" localSheetId="7">'[7]DIV.3 NP'!#REF!</definedName>
    <definedName name="FORM314" localSheetId="8">'[7]DIV.3 NP'!#REF!</definedName>
    <definedName name="FORM314" localSheetId="16">'[7]DIV.3 NP'!#REF!</definedName>
    <definedName name="FORM314" localSheetId="9">'[7]DIV.3 NP'!#REF!</definedName>
    <definedName name="FORM314">'[7]DIV.3 NP'!#REF!</definedName>
    <definedName name="FORM315" localSheetId="7">'[7]DIV.3 NP'!#REF!</definedName>
    <definedName name="FORM315" localSheetId="8">'[7]DIV.3 NP'!#REF!</definedName>
    <definedName name="FORM315" localSheetId="16">'[7]DIV.3 NP'!#REF!</definedName>
    <definedName name="FORM315" localSheetId="9">'[7]DIV.3 NP'!#REF!</definedName>
    <definedName name="FORM315">'[7]DIV.3 NP'!#REF!</definedName>
    <definedName name="FORM319" localSheetId="7">'[7]DIV.3 NP'!#REF!</definedName>
    <definedName name="FORM319" localSheetId="8">'[7]DIV.3 NP'!#REF!</definedName>
    <definedName name="FORM319" localSheetId="16">'[7]DIV.3 NP'!#REF!</definedName>
    <definedName name="FORM319" localSheetId="9">'[7]DIV.3 NP'!#REF!</definedName>
    <definedName name="FORM319">'[7]DIV.3 NP'!#REF!</definedName>
    <definedName name="FORM322">'[7]DIV.3 NP'!$A$72:$K$131</definedName>
    <definedName name="FORM323" localSheetId="1">#REF!</definedName>
    <definedName name="FORM323" localSheetId="7">#REF!</definedName>
    <definedName name="FORM323" localSheetId="8">#REF!</definedName>
    <definedName name="FORM323" localSheetId="16">#REF!</definedName>
    <definedName name="FORM323" localSheetId="9">#REF!</definedName>
    <definedName name="FORM323">#REF!</definedName>
    <definedName name="FORM323L" localSheetId="7">#REF!</definedName>
    <definedName name="FORM323L" localSheetId="8">#REF!</definedName>
    <definedName name="FORM323L" localSheetId="16">#REF!</definedName>
    <definedName name="FORM323L" localSheetId="9">#REF!</definedName>
    <definedName name="FORM323L">#REF!</definedName>
    <definedName name="FORM324">'[7]DIV.3 NP'!$A$318:$K$378</definedName>
    <definedName name="FORM331">'[7]DIV.3 NP'!$A$440:$K$500</definedName>
    <definedName name="FORM346">'[7]DIV.3 NP'!$A$560:$K$620</definedName>
    <definedName name="FORM421">'[7]DIV.4 NP'!$A$1:$K$61</definedName>
    <definedName name="FORM422">'[7]DIV.4 NP'!$A$180:$K$240</definedName>
    <definedName name="FORM423">'[7]DIV.4 NP'!$A$479:$K$539</definedName>
    <definedName name="FORM424">'[7]DIV.4 NP'!$A$359:$K$419</definedName>
    <definedName name="FORM425">'[7]DIV.4 NP'!$A$718:$K$778</definedName>
    <definedName name="FORM426">'[7]DIV.4 NP'!$A$897:$K$957</definedName>
    <definedName name="FORM427">'[7]DIV.4 NP'!$A$1017:$K$1077</definedName>
    <definedName name="FORM511">'[7]DIV.5 NP'!$A$1:$K$61</definedName>
    <definedName name="FORM512">'[7]DIV.5 NP'!$A$180:$K$240</definedName>
    <definedName name="FORM521">'[7]DIV.5 NP'!$A$359:$K$419</definedName>
    <definedName name="FORM522">'[7]DIV.5 NP'!$A$538:$K$598</definedName>
    <definedName name="FORM541">'[7]DIV.5 NP'!$A$717:$K$777</definedName>
    <definedName name="FORM542">'[7]DIV.5 NP'!$A$837:$K$897</definedName>
    <definedName name="FORM611">'[7]DIV.6 NP'!$A$1:$K$61</definedName>
    <definedName name="FORM612">'[7]DIV.6 NP'!$A$121:$K$181</definedName>
    <definedName name="FORM621">'[7]DIV.6 NP'!$A$241:$K$301</definedName>
    <definedName name="FORM622">'[7]DIV.6 NP'!$A$420:$K$480</definedName>
    <definedName name="FORM623">'[7]DIV.6 NP'!$A$599:$K$659</definedName>
    <definedName name="FORM631">'[7]DIV.6 NP'!$A$719:$K$779</definedName>
    <definedName name="FORM632">'[7]DIV.6 NP'!$A$898:$K$958</definedName>
    <definedName name="FORM633">'[7]DIV.6 NP'!$A$1077:$K$1137</definedName>
    <definedName name="FORM634">'[7]DIV.6 NP'!$A$1256:$K$1316</definedName>
    <definedName name="FORM635">'[7]DIV.6 NP'!$A$1614:$K$1674</definedName>
    <definedName name="FORM635A">'[7]DIV.6 NP'!$A$1435:$K$1495</definedName>
    <definedName name="FORM636">'[7]DIV.6 NP'!$A$1793:$K$1853</definedName>
    <definedName name="FORM641L" localSheetId="1">#REF!</definedName>
    <definedName name="FORM641L" localSheetId="7">#REF!</definedName>
    <definedName name="FORM641L" localSheetId="8">#REF!</definedName>
    <definedName name="FORM641L" localSheetId="16">#REF!</definedName>
    <definedName name="FORM641L" localSheetId="9">#REF!</definedName>
    <definedName name="FORM641L">#REF!</definedName>
    <definedName name="FORM642" localSheetId="7">#REF!</definedName>
    <definedName name="FORM642" localSheetId="8">#REF!</definedName>
    <definedName name="FORM642" localSheetId="16">#REF!</definedName>
    <definedName name="FORM642" localSheetId="9">#REF!</definedName>
    <definedName name="FORM642">#REF!</definedName>
    <definedName name="FORM65">'[7]DIV.6 NP'!$A$2150:$K$2210</definedName>
    <definedName name="FORM66PERATA">'[7]DIV.6 NP'!$A$2508:$K$2568</definedName>
    <definedName name="FORM66PERMUKAAN">'[7]DIV.6 NP'!$A$2687:$K$2747</definedName>
    <definedName name="FORM7101" localSheetId="4">[11]NP!#REF!</definedName>
    <definedName name="FORM7101" localSheetId="1">[11]NP!#REF!</definedName>
    <definedName name="FORM7101" localSheetId="7">[11]NP!#REF!</definedName>
    <definedName name="FORM7101" localSheetId="8">[11]NP!#REF!</definedName>
    <definedName name="FORM7101" localSheetId="16">[11]NP!#REF!</definedName>
    <definedName name="FORM7101" localSheetId="9">[11]NP!#REF!</definedName>
    <definedName name="FORM7101">[11]NP!#REF!</definedName>
    <definedName name="FORM7102" localSheetId="1">[11]NP!#REF!</definedName>
    <definedName name="FORM7102" localSheetId="7">[11]NP!#REF!</definedName>
    <definedName name="FORM7102" localSheetId="8">[11]NP!#REF!</definedName>
    <definedName name="FORM7102" localSheetId="16">[11]NP!#REF!</definedName>
    <definedName name="FORM7102" localSheetId="9">[11]NP!#REF!</definedName>
    <definedName name="FORM7102">[11]NP!#REF!</definedName>
    <definedName name="FORM7103" localSheetId="7">[11]NP!#REF!</definedName>
    <definedName name="FORM7103" localSheetId="8">[11]NP!#REF!</definedName>
    <definedName name="FORM7103" localSheetId="16">[11]NP!#REF!</definedName>
    <definedName name="FORM7103" localSheetId="9">[11]NP!#REF!</definedName>
    <definedName name="FORM7103">[11]NP!#REF!</definedName>
    <definedName name="FORM711" localSheetId="7">'[7]DIV. 6 - 7'!#REF!</definedName>
    <definedName name="FORM711" localSheetId="8">'[7]DIV. 6 - 7'!#REF!</definedName>
    <definedName name="FORM711" localSheetId="16">'[7]DIV. 6 - 7'!#REF!</definedName>
    <definedName name="FORM711" localSheetId="9">'[7]DIV. 6 - 7'!#REF!</definedName>
    <definedName name="FORM711">'[7]DIV. 6 - 7'!#REF!</definedName>
    <definedName name="FORM712" localSheetId="7">[11]NP!#REF!</definedName>
    <definedName name="FORM712" localSheetId="8">[11]NP!#REF!</definedName>
    <definedName name="FORM712" localSheetId="16">[11]NP!#REF!</definedName>
    <definedName name="FORM712" localSheetId="9">[11]NP!#REF!</definedName>
    <definedName name="FORM712">[11]NP!#REF!</definedName>
    <definedName name="FORM713" localSheetId="7">[11]NP!#REF!</definedName>
    <definedName name="FORM713" localSheetId="8">[11]NP!#REF!</definedName>
    <definedName name="FORM713" localSheetId="16">[11]NP!#REF!</definedName>
    <definedName name="FORM713" localSheetId="9">[11]NP!#REF!</definedName>
    <definedName name="FORM713">[11]NP!#REF!</definedName>
    <definedName name="FORM713a" localSheetId="7">[46]Beton!#REF!</definedName>
    <definedName name="FORM713a" localSheetId="8">[46]Beton!#REF!</definedName>
    <definedName name="FORM713a" localSheetId="16">[46]Beton!#REF!</definedName>
    <definedName name="FORM713a" localSheetId="9">[46]Beton!#REF!</definedName>
    <definedName name="FORM713a">[46]Beton!#REF!</definedName>
    <definedName name="FORM714" localSheetId="7">'[7]DIV. 6 - 7'!#REF!</definedName>
    <definedName name="FORM714" localSheetId="8">'[7]DIV. 6 - 7'!#REF!</definedName>
    <definedName name="FORM714" localSheetId="16">'[7]DIV. 6 - 7'!#REF!</definedName>
    <definedName name="FORM714" localSheetId="9">'[7]DIV. 6 - 7'!#REF!</definedName>
    <definedName name="FORM714">'[7]DIV. 6 - 7'!#REF!</definedName>
    <definedName name="FORM715" localSheetId="7">[11]NP!#REF!</definedName>
    <definedName name="FORM715" localSheetId="8">[11]NP!#REF!</definedName>
    <definedName name="FORM715" localSheetId="16">[11]NP!#REF!</definedName>
    <definedName name="FORM715" localSheetId="9">[11]NP!#REF!</definedName>
    <definedName name="FORM715">[11]NP!#REF!</definedName>
    <definedName name="FORM716" localSheetId="7">[11]NP!#REF!</definedName>
    <definedName name="FORM716" localSheetId="8">[11]NP!#REF!</definedName>
    <definedName name="FORM716" localSheetId="16">[11]NP!#REF!</definedName>
    <definedName name="FORM716" localSheetId="9">[11]NP!#REF!</definedName>
    <definedName name="FORM716">[11]NP!#REF!</definedName>
    <definedName name="FORM717" localSheetId="7">[11]NP!#REF!</definedName>
    <definedName name="FORM717" localSheetId="8">[11]NP!#REF!</definedName>
    <definedName name="FORM717" localSheetId="16">[11]NP!#REF!</definedName>
    <definedName name="FORM717" localSheetId="9">[11]NP!#REF!</definedName>
    <definedName name="FORM717">[11]NP!#REF!</definedName>
    <definedName name="FORM718" localSheetId="7">[11]NP!#REF!</definedName>
    <definedName name="FORM718" localSheetId="8">[11]NP!#REF!</definedName>
    <definedName name="FORM718" localSheetId="16">[11]NP!#REF!</definedName>
    <definedName name="FORM718" localSheetId="9">[11]NP!#REF!</definedName>
    <definedName name="FORM718">[11]NP!#REF!</definedName>
    <definedName name="FORM721">'[7]DIV. 6 - 7'!$A$625:$K$685</definedName>
    <definedName name="FORM731">'[7]DIV. 6 - 7'!$A$1:$K$61</definedName>
    <definedName name="FORM732">'[7]DIV. 6 - 7'!$A$145:$K$205</definedName>
    <definedName name="FORM733">'[7]DIV. 6 - 7'!$A$265:$K$325</definedName>
    <definedName name="FORM734">'[7]DIV. 6 - 7'!$A$385:$K$445</definedName>
    <definedName name="FORM735">'[7]DIV. 6 - 7'!$A$505:$K$565</definedName>
    <definedName name="FORM744" localSheetId="4">[11]NP!#REF!</definedName>
    <definedName name="FORM744" localSheetId="1">[11]NP!#REF!</definedName>
    <definedName name="FORM744" localSheetId="7">[11]NP!#REF!</definedName>
    <definedName name="FORM744" localSheetId="8">[11]NP!#REF!</definedName>
    <definedName name="FORM744" localSheetId="16">[11]NP!#REF!</definedName>
    <definedName name="FORM744" localSheetId="9">[11]NP!#REF!</definedName>
    <definedName name="FORM744">[11]NP!#REF!</definedName>
    <definedName name="FORM745" localSheetId="1">[11]NP!#REF!</definedName>
    <definedName name="FORM745" localSheetId="7">[11]NP!#REF!</definedName>
    <definedName name="FORM745" localSheetId="8">[11]NP!#REF!</definedName>
    <definedName name="FORM745" localSheetId="16">[11]NP!#REF!</definedName>
    <definedName name="FORM745" localSheetId="9">[11]NP!#REF!</definedName>
    <definedName name="FORM745">[11]NP!#REF!</definedName>
    <definedName name="Form761" localSheetId="7">[47]Beton!#REF!</definedName>
    <definedName name="Form761" localSheetId="8">[47]Beton!#REF!</definedName>
    <definedName name="Form761" localSheetId="16">[47]Beton!#REF!</definedName>
    <definedName name="Form761" localSheetId="9">[47]Beton!#REF!</definedName>
    <definedName name="Form761">[47]Beton!#REF!</definedName>
    <definedName name="FORM7610" localSheetId="7">[11]NP!#REF!</definedName>
    <definedName name="FORM7610" localSheetId="8">[11]NP!#REF!</definedName>
    <definedName name="FORM7610" localSheetId="16">[11]NP!#REF!</definedName>
    <definedName name="FORM7610" localSheetId="9">[11]NP!#REF!</definedName>
    <definedName name="FORM7610">[11]NP!#REF!</definedName>
    <definedName name="FORM7612a" localSheetId="7">[11]NP!#REF!</definedName>
    <definedName name="FORM7612a" localSheetId="8">[11]NP!#REF!</definedName>
    <definedName name="FORM7612a" localSheetId="16">[11]NP!#REF!</definedName>
    <definedName name="FORM7612a" localSheetId="9">[11]NP!#REF!</definedName>
    <definedName name="FORM7612a">[11]NP!#REF!</definedName>
    <definedName name="FORM7612b" localSheetId="7">[11]NP!#REF!</definedName>
    <definedName name="FORM7612b" localSheetId="8">[11]NP!#REF!</definedName>
    <definedName name="FORM7612b" localSheetId="16">[11]NP!#REF!</definedName>
    <definedName name="FORM7612b" localSheetId="9">[11]NP!#REF!</definedName>
    <definedName name="FORM7612b">[11]NP!#REF!</definedName>
    <definedName name="FORM7612c" localSheetId="7">[11]NP!#REF!</definedName>
    <definedName name="FORM7612c" localSheetId="8">[11]NP!#REF!</definedName>
    <definedName name="FORM7612c" localSheetId="16">[11]NP!#REF!</definedName>
    <definedName name="FORM7612c" localSheetId="9">[11]NP!#REF!</definedName>
    <definedName name="FORM7612c">[11]NP!#REF!</definedName>
    <definedName name="FORM7613a" localSheetId="7">[11]NP!#REF!</definedName>
    <definedName name="FORM7613a" localSheetId="8">[11]NP!#REF!</definedName>
    <definedName name="FORM7613a" localSheetId="16">[11]NP!#REF!</definedName>
    <definedName name="FORM7613a" localSheetId="9">[11]NP!#REF!</definedName>
    <definedName name="FORM7613a">[11]NP!#REF!</definedName>
    <definedName name="FORM7613b" localSheetId="7">[11]NP!#REF!</definedName>
    <definedName name="FORM7613b" localSheetId="8">[11]NP!#REF!</definedName>
    <definedName name="FORM7613b" localSheetId="16">[11]NP!#REF!</definedName>
    <definedName name="FORM7613b" localSheetId="9">[11]NP!#REF!</definedName>
    <definedName name="FORM7613b">[11]NP!#REF!</definedName>
    <definedName name="FORM7613c" localSheetId="7">[11]NP!#REF!</definedName>
    <definedName name="FORM7613c" localSheetId="8">[11]NP!#REF!</definedName>
    <definedName name="FORM7613c" localSheetId="16">[11]NP!#REF!</definedName>
    <definedName name="FORM7613c" localSheetId="9">[11]NP!#REF!</definedName>
    <definedName name="FORM7613c">[11]NP!#REF!</definedName>
    <definedName name="FORM7614a" localSheetId="7">[11]NP!#REF!</definedName>
    <definedName name="FORM7614a" localSheetId="8">[11]NP!#REF!</definedName>
    <definedName name="FORM7614a" localSheetId="16">[11]NP!#REF!</definedName>
    <definedName name="FORM7614a" localSheetId="9">[11]NP!#REF!</definedName>
    <definedName name="FORM7614a">[11]NP!#REF!</definedName>
    <definedName name="FORM7614b" localSheetId="7">[11]NP!#REF!</definedName>
    <definedName name="FORM7614b" localSheetId="8">[11]NP!#REF!</definedName>
    <definedName name="FORM7614b" localSheetId="16">[11]NP!#REF!</definedName>
    <definedName name="FORM7614b" localSheetId="9">[11]NP!#REF!</definedName>
    <definedName name="FORM7614b">[11]NP!#REF!</definedName>
    <definedName name="FORM7614c" localSheetId="7">[11]NP!#REF!</definedName>
    <definedName name="FORM7614c" localSheetId="8">[11]NP!#REF!</definedName>
    <definedName name="FORM7614c" localSheetId="16">[11]NP!#REF!</definedName>
    <definedName name="FORM7614c" localSheetId="9">[11]NP!#REF!</definedName>
    <definedName name="FORM7614c">[11]NP!#REF!</definedName>
    <definedName name="FORM7614d" localSheetId="7">[11]NP!#REF!</definedName>
    <definedName name="FORM7614d" localSheetId="8">[11]NP!#REF!</definedName>
    <definedName name="FORM7614d" localSheetId="16">[11]NP!#REF!</definedName>
    <definedName name="FORM7614d" localSheetId="9">[11]NP!#REF!</definedName>
    <definedName name="FORM7614d">[11]NP!#REF!</definedName>
    <definedName name="FORM7614e" localSheetId="7">[11]NP!#REF!</definedName>
    <definedName name="FORM7614e" localSheetId="8">[11]NP!#REF!</definedName>
    <definedName name="FORM7614e" localSheetId="16">[11]NP!#REF!</definedName>
    <definedName name="FORM7614e" localSheetId="9">[11]NP!#REF!</definedName>
    <definedName name="FORM7614e">[11]NP!#REF!</definedName>
    <definedName name="FORM7618" localSheetId="7">[11]NP!#REF!</definedName>
    <definedName name="FORM7618" localSheetId="8">[11]NP!#REF!</definedName>
    <definedName name="FORM7618" localSheetId="16">[11]NP!#REF!</definedName>
    <definedName name="FORM7618" localSheetId="9">[11]NP!#REF!</definedName>
    <definedName name="FORM7618">[11]NP!#REF!</definedName>
    <definedName name="FORM7619" localSheetId="7">[11]NP!#REF!</definedName>
    <definedName name="FORM7619" localSheetId="8">[11]NP!#REF!</definedName>
    <definedName name="FORM7619" localSheetId="16">[11]NP!#REF!</definedName>
    <definedName name="FORM7619" localSheetId="9">[11]NP!#REF!</definedName>
    <definedName name="FORM7619">[11]NP!#REF!</definedName>
    <definedName name="FORM768" localSheetId="7">[11]NP!#REF!</definedName>
    <definedName name="FORM768" localSheetId="8">[11]NP!#REF!</definedName>
    <definedName name="FORM768" localSheetId="16">[11]NP!#REF!</definedName>
    <definedName name="FORM768" localSheetId="9">[11]NP!#REF!</definedName>
    <definedName name="FORM768">[11]NP!#REF!</definedName>
    <definedName name="FORM769" localSheetId="7">[11]NP!#REF!</definedName>
    <definedName name="FORM769" localSheetId="8">[11]NP!#REF!</definedName>
    <definedName name="FORM769" localSheetId="16">[11]NP!#REF!</definedName>
    <definedName name="FORM769" localSheetId="9">[11]NP!#REF!</definedName>
    <definedName name="FORM769">[11]NP!#REF!</definedName>
    <definedName name="FORM76X" localSheetId="7">[11]NP!#REF!</definedName>
    <definedName name="FORM76X" localSheetId="8">[11]NP!#REF!</definedName>
    <definedName name="FORM76X" localSheetId="16">[11]NP!#REF!</definedName>
    <definedName name="FORM76X" localSheetId="9">[11]NP!#REF!</definedName>
    <definedName name="FORM76X">[11]NP!#REF!</definedName>
    <definedName name="FORM771a" localSheetId="7">'[7]DIV. 6 - 7'!#REF!</definedName>
    <definedName name="FORM771a" localSheetId="8">'[7]DIV. 6 - 7'!#REF!</definedName>
    <definedName name="FORM771a" localSheetId="16">'[7]DIV. 6 - 7'!#REF!</definedName>
    <definedName name="FORM771a" localSheetId="9">'[7]DIV. 6 - 7'!#REF!</definedName>
    <definedName name="FORM771a">'[7]DIV. 6 - 7'!#REF!</definedName>
    <definedName name="FORM771b" localSheetId="7">'[7]DIV. 6 - 7'!#REF!</definedName>
    <definedName name="FORM771b" localSheetId="8">'[7]DIV. 6 - 7'!#REF!</definedName>
    <definedName name="FORM771b" localSheetId="16">'[7]DIV. 6 - 7'!#REF!</definedName>
    <definedName name="FORM771b" localSheetId="9">'[7]DIV. 6 - 7'!#REF!</definedName>
    <definedName name="FORM771b">'[7]DIV. 6 - 7'!#REF!</definedName>
    <definedName name="FORM771c" localSheetId="7">'[7]DIV. 6 - 7'!#REF!</definedName>
    <definedName name="FORM771c" localSheetId="8">'[7]DIV. 6 - 7'!#REF!</definedName>
    <definedName name="FORM771c" localSheetId="16">'[7]DIV. 6 - 7'!#REF!</definedName>
    <definedName name="FORM771c" localSheetId="9">'[7]DIV. 6 - 7'!#REF!</definedName>
    <definedName name="FORM771c">'[7]DIV. 6 - 7'!#REF!</definedName>
    <definedName name="FORM771d" localSheetId="7">'[7]DIV. 6 - 7'!#REF!</definedName>
    <definedName name="FORM771d" localSheetId="8">'[7]DIV. 6 - 7'!#REF!</definedName>
    <definedName name="FORM771d" localSheetId="16">'[7]DIV. 6 - 7'!#REF!</definedName>
    <definedName name="FORM771d" localSheetId="9">'[7]DIV. 6 - 7'!#REF!</definedName>
    <definedName name="FORM771d">'[7]DIV. 6 - 7'!#REF!</definedName>
    <definedName name="FORM772a" localSheetId="7">'[7]DIV. 6 - 7'!#REF!</definedName>
    <definedName name="FORM772a" localSheetId="8">'[7]DIV. 6 - 7'!#REF!</definedName>
    <definedName name="FORM772a" localSheetId="16">'[7]DIV. 6 - 7'!#REF!</definedName>
    <definedName name="FORM772a" localSheetId="9">'[7]DIV. 6 - 7'!#REF!</definedName>
    <definedName name="FORM772a">'[7]DIV. 6 - 7'!#REF!</definedName>
    <definedName name="FORM772b" localSheetId="7">'[7]DIV. 6 - 7'!#REF!</definedName>
    <definedName name="FORM772b" localSheetId="8">'[7]DIV. 6 - 7'!#REF!</definedName>
    <definedName name="FORM772b" localSheetId="16">'[7]DIV. 6 - 7'!#REF!</definedName>
    <definedName name="FORM772b" localSheetId="9">'[7]DIV. 6 - 7'!#REF!</definedName>
    <definedName name="FORM772b">'[7]DIV. 6 - 7'!#REF!</definedName>
    <definedName name="FORM772c" localSheetId="7">'[7]DIV. 6 - 7'!#REF!</definedName>
    <definedName name="FORM772c" localSheetId="8">'[7]DIV. 6 - 7'!#REF!</definedName>
    <definedName name="FORM772c" localSheetId="16">'[7]DIV. 6 - 7'!#REF!</definedName>
    <definedName name="FORM772c" localSheetId="9">'[7]DIV. 6 - 7'!#REF!</definedName>
    <definedName name="FORM772c">'[7]DIV. 6 - 7'!#REF!</definedName>
    <definedName name="FORM772d" localSheetId="7">'[7]DIV. 6 - 7'!#REF!</definedName>
    <definedName name="FORM772d" localSheetId="8">'[7]DIV. 6 - 7'!#REF!</definedName>
    <definedName name="FORM772d" localSheetId="16">'[7]DIV. 6 - 7'!#REF!</definedName>
    <definedName name="FORM772d" localSheetId="9">'[7]DIV. 6 - 7'!#REF!</definedName>
    <definedName name="FORM772d">'[7]DIV. 6 - 7'!#REF!</definedName>
    <definedName name="FORM79manual" localSheetId="7">[11]NP!#REF!</definedName>
    <definedName name="FORM79manual" localSheetId="8">[11]NP!#REF!</definedName>
    <definedName name="FORM79manual" localSheetId="16">[11]NP!#REF!</definedName>
    <definedName name="FORM79manual" localSheetId="9">[11]NP!#REF!</definedName>
    <definedName name="FORM79manual">[11]NP!#REF!</definedName>
    <definedName name="FORM79mekanis" localSheetId="7">[11]NP!#REF!</definedName>
    <definedName name="FORM79mekanis" localSheetId="8">[11]NP!#REF!</definedName>
    <definedName name="FORM79mekanis" localSheetId="16">[11]NP!#REF!</definedName>
    <definedName name="FORM79mekanis" localSheetId="9">[11]NP!#REF!</definedName>
    <definedName name="FORM79mekanis">[11]NP!#REF!</definedName>
    <definedName name="FORM811">'[7]DIV.8 NP'!$A$1:$K$61</definedName>
    <definedName name="FORM812">'[7]DIV.8 NP'!$A$180:$K$240</definedName>
    <definedName name="FORM813">'[7]DIV.8 NP'!$A$359:$K$419</definedName>
    <definedName name="FORM814">'[7]DIV.8 NP'!$A$538:$K$598</definedName>
    <definedName name="FORM815">'[7]DIV.8 NP'!$A$717:$K$777</definedName>
    <definedName name="FORM817">'[7]DIV.8 NP'!$A$896:$K$956</definedName>
    <definedName name="FORM818">'[7]DIV.8 NP'!$A$1075:$K$1135</definedName>
    <definedName name="FORM819">'[7]DIV.8 NP'!$A$1254:$K$1314</definedName>
    <definedName name="FORM82">'[7]DIV.8 NP'!$A$1374:$K$1434</definedName>
    <definedName name="FORM841">'[7]DIV.8 NP'!$A$1614:$K$1674</definedName>
    <definedName name="FORM8410">'[7]DIV.8 NP'!$A$2222:$K$2282</definedName>
    <definedName name="FORM842">'[7]DIV.8 NP'!$A$1494:$K$1554</definedName>
    <definedName name="FORM844">'[7]DIV.8 NP'!$A$1734:$K$1794</definedName>
    <definedName name="FORM845">'[7]DIV.8 NP'!$A$1856:$K$1916</definedName>
    <definedName name="FORM846">'[7]DIV.8 NP'!$A$1978:$K$2038</definedName>
    <definedName name="FORM847">'[7]DIV.8 NP'!$A$2100:$K$2160</definedName>
    <definedName name="FORM910">'[7]DIV.9 NP'!$A$373:$L$434</definedName>
    <definedName name="FORM911">'[7]DIV.9 NP'!$A$435:$L$496</definedName>
    <definedName name="FORM912">'[7]DIV.9 NP'!$A$497:$L$558</definedName>
    <definedName name="FORM913">'[7]DIV.9 NP'!$A$559:$L$620</definedName>
    <definedName name="FORM914">'[7]DIV.9 NP'!$A$621:$L$682</definedName>
    <definedName name="FORM915">'[7]DIV.9 NP'!$A$683:$L$744</definedName>
    <definedName name="FORM916">'[7]DIV.9 NP'!$A$745:$L$806</definedName>
    <definedName name="FORM917">'[7]DIV.9 NP'!$A$807:$L$868</definedName>
    <definedName name="FORM918">'[7]DIV.9 NP'!$A$869:$L$930</definedName>
    <definedName name="FORM919">'[7]DIV.9 NP'!$A$931:$L$992</definedName>
    <definedName name="FORM920">'[7]DIV.9 NP'!$A$993:$L$1054</definedName>
    <definedName name="FORM94">'[7]DIV.9 NP'!$A$1:$L$62</definedName>
    <definedName name="FORM95">'[7]DIV.9 NP'!$A$63:$L$124</definedName>
    <definedName name="FORM96">'[7]DIV.9 NP'!$A$125:$L$186</definedName>
    <definedName name="FORM97">'[7]DIV.9 NP'!$A$187:$L$248</definedName>
    <definedName name="FORM98">'[7]DIV.9 NP'!$A$249:$L$310</definedName>
    <definedName name="FORM99">'[7]DIV.9 NP'!$A$311:$L$372</definedName>
    <definedName name="FORMGEOTEKSTIL" localSheetId="4">[11]NP!#REF!</definedName>
    <definedName name="FORMGEOTEKSTIL" localSheetId="1">[11]NP!#REF!</definedName>
    <definedName name="FORMGEOTEKSTIL" localSheetId="7">[11]NP!#REF!</definedName>
    <definedName name="FORMGEOTEKSTIL" localSheetId="8">[11]NP!#REF!</definedName>
    <definedName name="FORMGEOTEKSTIL" localSheetId="16">[11]NP!#REF!</definedName>
    <definedName name="FORMGEOTEKSTIL" localSheetId="9">[11]NP!#REF!</definedName>
    <definedName name="FORMGEOTEKSTIL">[11]NP!#REF!</definedName>
    <definedName name="formika" localSheetId="1">'[18]harga lama'!#REF!</definedName>
    <definedName name="formika" localSheetId="7">'[18]harga lama'!#REF!</definedName>
    <definedName name="formika" localSheetId="8">'[18]harga lama'!#REF!</definedName>
    <definedName name="formika" localSheetId="16">'[18]harga lama'!#REF!</definedName>
    <definedName name="formika" localSheetId="9">'[18]harga lama'!#REF!</definedName>
    <definedName name="formika">'[18]harga lama'!#REF!</definedName>
    <definedName name="FULVIMIXER" localSheetId="7">'[11]An. Alat'!#REF!</definedName>
    <definedName name="FULVIMIXER" localSheetId="8">'[11]An. Alat'!#REF!</definedName>
    <definedName name="FULVIMIXER" localSheetId="16">'[11]An. Alat'!#REF!</definedName>
    <definedName name="FULVIMIXER" localSheetId="9">'[11]An. Alat'!#REF!</definedName>
    <definedName name="FULVIMIXER">'[11]An. Alat'!#REF!</definedName>
    <definedName name="g" localSheetId="1">#REF!</definedName>
    <definedName name="g" localSheetId="7">#REF!</definedName>
    <definedName name="g" localSheetId="8">#REF!</definedName>
    <definedName name="g" localSheetId="16">#REF!</definedName>
    <definedName name="g" localSheetId="0">#REF!</definedName>
    <definedName name="g" localSheetId="9">#REF!</definedName>
    <definedName name="g">#REF!</definedName>
    <definedName name="G." localSheetId="7">#REF!</definedName>
    <definedName name="G." localSheetId="8">#REF!</definedName>
    <definedName name="G." localSheetId="16">#REF!</definedName>
    <definedName name="G." localSheetId="9">#REF!</definedName>
    <definedName name="G.">#REF!</definedName>
    <definedName name="G.14" localSheetId="7">#REF!</definedName>
    <definedName name="G.14" localSheetId="8">#REF!</definedName>
    <definedName name="G.14" localSheetId="16">#REF!</definedName>
    <definedName name="G.14" localSheetId="0">#REF!</definedName>
    <definedName name="G.14" localSheetId="9">#REF!</definedName>
    <definedName name="G.14">#REF!</definedName>
    <definedName name="G.2" localSheetId="7">#REF!</definedName>
    <definedName name="G.2" localSheetId="8">#REF!</definedName>
    <definedName name="G.2" localSheetId="16">#REF!</definedName>
    <definedName name="G.2" localSheetId="0">#REF!</definedName>
    <definedName name="G.2" localSheetId="9">#REF!</definedName>
    <definedName name="G.2">#REF!</definedName>
    <definedName name="g.2a" localSheetId="7">#REF!</definedName>
    <definedName name="g.2a" localSheetId="8">#REF!</definedName>
    <definedName name="g.2a" localSheetId="16">#REF!</definedName>
    <definedName name="g.2a" localSheetId="0">#REF!</definedName>
    <definedName name="g.2a" localSheetId="9">#REF!</definedName>
    <definedName name="g.2a">#REF!</definedName>
    <definedName name="g.2b" localSheetId="7">#REF!</definedName>
    <definedName name="g.2b" localSheetId="8">#REF!</definedName>
    <definedName name="g.2b" localSheetId="16">#REF!</definedName>
    <definedName name="g.2b" localSheetId="0">#REF!</definedName>
    <definedName name="g.2b" localSheetId="9">#REF!</definedName>
    <definedName name="g.2b">#REF!</definedName>
    <definedName name="g.32a" localSheetId="7">#REF!</definedName>
    <definedName name="g.32a" localSheetId="8">#REF!</definedName>
    <definedName name="g.32a" localSheetId="16">#REF!</definedName>
    <definedName name="g.32a" localSheetId="0">#REF!</definedName>
    <definedName name="g.32a" localSheetId="9">#REF!</definedName>
    <definedName name="g.32a">#REF!</definedName>
    <definedName name="G.32h" localSheetId="7">#REF!</definedName>
    <definedName name="G.32h" localSheetId="8">#REF!</definedName>
    <definedName name="G.32h" localSheetId="16">#REF!</definedName>
    <definedName name="G.32h" localSheetId="0">#REF!</definedName>
    <definedName name="G.32h" localSheetId="9">#REF!</definedName>
    <definedName name="G.32h">#REF!</definedName>
    <definedName name="g.32l" localSheetId="7">#REF!</definedName>
    <definedName name="g.32l" localSheetId="8">#REF!</definedName>
    <definedName name="g.32l" localSheetId="16">#REF!</definedName>
    <definedName name="g.32l" localSheetId="9">#REF!</definedName>
    <definedName name="g.32l">#REF!</definedName>
    <definedName name="G.33b" localSheetId="7">#REF!</definedName>
    <definedName name="G.33b" localSheetId="8">#REF!</definedName>
    <definedName name="G.33b" localSheetId="16">#REF!</definedName>
    <definedName name="G.33b" localSheetId="0">#REF!</definedName>
    <definedName name="G.33b" localSheetId="9">#REF!</definedName>
    <definedName name="G.33b">#REF!</definedName>
    <definedName name="G.33b1" localSheetId="7">#REF!</definedName>
    <definedName name="G.33b1" localSheetId="8">#REF!</definedName>
    <definedName name="G.33b1" localSheetId="16">#REF!</definedName>
    <definedName name="G.33b1" localSheetId="9">#REF!</definedName>
    <definedName name="G.33b1">#REF!</definedName>
    <definedName name="G.33I" localSheetId="7">#REF!</definedName>
    <definedName name="G.33I" localSheetId="8">#REF!</definedName>
    <definedName name="G.33I" localSheetId="16">#REF!</definedName>
    <definedName name="G.33I" localSheetId="9">#REF!</definedName>
    <definedName name="G.33I">#REF!</definedName>
    <definedName name="G.33m" localSheetId="7">#REF!</definedName>
    <definedName name="G.33m" localSheetId="8">#REF!</definedName>
    <definedName name="G.33m" localSheetId="16">#REF!</definedName>
    <definedName name="G.33m" localSheetId="0">#REF!</definedName>
    <definedName name="G.33m" localSheetId="9">#REF!</definedName>
    <definedName name="G.33m">#REF!</definedName>
    <definedName name="G.38" localSheetId="7">#REF!</definedName>
    <definedName name="G.38" localSheetId="8">#REF!</definedName>
    <definedName name="G.38" localSheetId="16">#REF!</definedName>
    <definedName name="G.38" localSheetId="9">#REF!</definedName>
    <definedName name="G.38">#REF!</definedName>
    <definedName name="G.41" localSheetId="7">#REF!</definedName>
    <definedName name="G.41" localSheetId="8">#REF!</definedName>
    <definedName name="G.41" localSheetId="16">#REF!</definedName>
    <definedName name="G.41" localSheetId="9">#REF!</definedName>
    <definedName name="G.41">#REF!</definedName>
    <definedName name="g.41a" localSheetId="7">#REF!</definedName>
    <definedName name="g.41a" localSheetId="8">#REF!</definedName>
    <definedName name="g.41a" localSheetId="16">#REF!</definedName>
    <definedName name="g.41a" localSheetId="0">#REF!</definedName>
    <definedName name="g.41a" localSheetId="9">#REF!</definedName>
    <definedName name="g.41a">#REF!</definedName>
    <definedName name="g.41b" localSheetId="7">#REF!</definedName>
    <definedName name="g.41b" localSheetId="8">#REF!</definedName>
    <definedName name="g.41b" localSheetId="16">#REF!</definedName>
    <definedName name="g.41b" localSheetId="0">#REF!</definedName>
    <definedName name="g.41b" localSheetId="9">#REF!</definedName>
    <definedName name="g.41b">#REF!</definedName>
    <definedName name="g.41c" localSheetId="7">#REF!</definedName>
    <definedName name="g.41c" localSheetId="8">#REF!</definedName>
    <definedName name="g.41c" localSheetId="16">#REF!</definedName>
    <definedName name="g.41c" localSheetId="0">#REF!</definedName>
    <definedName name="g.41c" localSheetId="9">#REF!</definedName>
    <definedName name="g.41c">#REF!</definedName>
    <definedName name="G.43" localSheetId="7">#REF!</definedName>
    <definedName name="G.43" localSheetId="8">#REF!</definedName>
    <definedName name="G.43" localSheetId="16">#REF!</definedName>
    <definedName name="G.43" localSheetId="9">#REF!</definedName>
    <definedName name="G.43">#REF!</definedName>
    <definedName name="G.43a" localSheetId="7">#REF!</definedName>
    <definedName name="G.43a" localSheetId="8">#REF!</definedName>
    <definedName name="G.43a" localSheetId="16">#REF!</definedName>
    <definedName name="G.43a" localSheetId="0">#REF!</definedName>
    <definedName name="G.43a" localSheetId="9">#REF!</definedName>
    <definedName name="G.43a">#REF!</definedName>
    <definedName name="G.43b" localSheetId="7">#REF!</definedName>
    <definedName name="G.43b" localSheetId="8">#REF!</definedName>
    <definedName name="G.43b" localSheetId="16">#REF!</definedName>
    <definedName name="G.43b" localSheetId="0">#REF!</definedName>
    <definedName name="G.43b" localSheetId="9">#REF!</definedName>
    <definedName name="G.43b">#REF!</definedName>
    <definedName name="G.44" localSheetId="7">#REF!</definedName>
    <definedName name="G.44" localSheetId="8">#REF!</definedName>
    <definedName name="G.44" localSheetId="16">#REF!</definedName>
    <definedName name="G.44" localSheetId="0">#REF!</definedName>
    <definedName name="G.44" localSheetId="9">#REF!</definedName>
    <definedName name="G.44">#REF!</definedName>
    <definedName name="G.50h" localSheetId="7">#REF!</definedName>
    <definedName name="G.50h" localSheetId="8">#REF!</definedName>
    <definedName name="G.50h" localSheetId="16">#REF!</definedName>
    <definedName name="G.50h" localSheetId="0">#REF!</definedName>
    <definedName name="G.50h" localSheetId="9">#REF!</definedName>
    <definedName name="G.50h">#REF!</definedName>
    <definedName name="G.50I" localSheetId="7">#REF!</definedName>
    <definedName name="G.50I" localSheetId="8">#REF!</definedName>
    <definedName name="G.50I" localSheetId="16">#REF!</definedName>
    <definedName name="G.50I" localSheetId="9">#REF!</definedName>
    <definedName name="G.50I">#REF!</definedName>
    <definedName name="G.50k" localSheetId="7">#REF!</definedName>
    <definedName name="G.50k" localSheetId="8">#REF!</definedName>
    <definedName name="G.50k" localSheetId="16">#REF!</definedName>
    <definedName name="G.50k" localSheetId="0">#REF!</definedName>
    <definedName name="G.50k" localSheetId="9">#REF!</definedName>
    <definedName name="G.50k">#REF!</definedName>
    <definedName name="G.50q" localSheetId="7">#REF!</definedName>
    <definedName name="G.50q" localSheetId="8">#REF!</definedName>
    <definedName name="G.50q" localSheetId="16">#REF!</definedName>
    <definedName name="G.50q" localSheetId="0">#REF!</definedName>
    <definedName name="G.50q" localSheetId="9">#REF!</definedName>
    <definedName name="G.50q">#REF!</definedName>
    <definedName name="G.51" localSheetId="7">#REF!</definedName>
    <definedName name="G.51" localSheetId="8">#REF!</definedName>
    <definedName name="G.51" localSheetId="16">#REF!</definedName>
    <definedName name="G.51" localSheetId="9">#REF!</definedName>
    <definedName name="G.51">#REF!</definedName>
    <definedName name="G.51C" localSheetId="7">#REF!</definedName>
    <definedName name="G.51C" localSheetId="8">#REF!</definedName>
    <definedName name="G.51C" localSheetId="16">#REF!</definedName>
    <definedName name="G.51C" localSheetId="9">#REF!</definedName>
    <definedName name="G.51C">#REF!</definedName>
    <definedName name="G.69a" localSheetId="7">#REF!</definedName>
    <definedName name="G.69a" localSheetId="8">#REF!</definedName>
    <definedName name="G.69a" localSheetId="16">#REF!</definedName>
    <definedName name="G.69a" localSheetId="0">#REF!</definedName>
    <definedName name="G.69a" localSheetId="9">#REF!</definedName>
    <definedName name="G.69a">#REF!</definedName>
    <definedName name="G.69b" localSheetId="7">#REF!</definedName>
    <definedName name="G.69b" localSheetId="8">#REF!</definedName>
    <definedName name="G.69b" localSheetId="16">#REF!</definedName>
    <definedName name="G.69b" localSheetId="0">#REF!</definedName>
    <definedName name="G.69b" localSheetId="9">#REF!</definedName>
    <definedName name="G.69b">#REF!</definedName>
    <definedName name="G.69c" localSheetId="7">#REF!</definedName>
    <definedName name="G.69c" localSheetId="8">#REF!</definedName>
    <definedName name="G.69c" localSheetId="16">#REF!</definedName>
    <definedName name="G.69c" localSheetId="0">#REF!</definedName>
    <definedName name="G.69c" localSheetId="9">#REF!</definedName>
    <definedName name="G.69c">#REF!</definedName>
    <definedName name="G.Kramik" localSheetId="7">#REF!</definedName>
    <definedName name="G.Kramik" localSheetId="8">#REF!</definedName>
    <definedName name="G.Kramik" localSheetId="16">#REF!</definedName>
    <definedName name="G.Kramik" localSheetId="9">#REF!</definedName>
    <definedName name="G.Kramik">#REF!</definedName>
    <definedName name="G_50H">'[48]Analisa BOW'!$N$172</definedName>
    <definedName name="gali" localSheetId="1">#REF!</definedName>
    <definedName name="gali" localSheetId="7">#REF!</definedName>
    <definedName name="gali" localSheetId="8">#REF!</definedName>
    <definedName name="gali" localSheetId="16">#REF!</definedName>
    <definedName name="gali" localSheetId="9">#REF!</definedName>
    <definedName name="gali">#REF!</definedName>
    <definedName name="galian" localSheetId="7">#REF!</definedName>
    <definedName name="galian" localSheetId="8">#REF!</definedName>
    <definedName name="galian" localSheetId="16">#REF!</definedName>
    <definedName name="galian" localSheetId="9">#REF!</definedName>
    <definedName name="galian">#REF!</definedName>
    <definedName name="galianpasir" localSheetId="7">[31]Analisa!#REF!</definedName>
    <definedName name="galianpasir" localSheetId="8">[31]Analisa!#REF!</definedName>
    <definedName name="galianpasir" localSheetId="16">[31]Analisa!#REF!</definedName>
    <definedName name="galianpasir" localSheetId="9">[31]Analisa!#REF!</definedName>
    <definedName name="galianpasir">[31]Analisa!#REF!</definedName>
    <definedName name="galtanahkons" localSheetId="1">'[49]DRUP (ASLI)'!$I$582</definedName>
    <definedName name="galtanahkons">'[50]DRUP (ASLI)'!$I$582</definedName>
    <definedName name="GENSET">'[11]An. Alat'!$A$238:$J$296</definedName>
    <definedName name="geo" localSheetId="4">'[31]DU&amp;B'!#REF!</definedName>
    <definedName name="geo" localSheetId="1">'[31]DU&amp;B'!#REF!</definedName>
    <definedName name="geo" localSheetId="7">'[31]DU&amp;B'!#REF!</definedName>
    <definedName name="geo" localSheetId="8">'[31]DU&amp;B'!#REF!</definedName>
    <definedName name="geo" localSheetId="16">'[31]DU&amp;B'!#REF!</definedName>
    <definedName name="geo" localSheetId="9">'[31]DU&amp;B'!#REF!</definedName>
    <definedName name="geo">'[31]DU&amp;B'!#REF!</definedName>
    <definedName name="geol" localSheetId="1">'[31]DU&amp;B'!#REF!</definedName>
    <definedName name="geol" localSheetId="7">'[31]DU&amp;B'!#REF!</definedName>
    <definedName name="geol" localSheetId="8">'[31]DU&amp;B'!#REF!</definedName>
    <definedName name="geol" localSheetId="16">'[31]DU&amp;B'!#REF!</definedName>
    <definedName name="geol" localSheetId="9">'[31]DU&amp;B'!#REF!</definedName>
    <definedName name="geol">'[31]DU&amp;B'!#REF!</definedName>
    <definedName name="geolh" localSheetId="7">'[31]DU&amp;B'!#REF!</definedName>
    <definedName name="geolh" localSheetId="8">'[31]DU&amp;B'!#REF!</definedName>
    <definedName name="geolh" localSheetId="16">'[31]DU&amp;B'!#REF!</definedName>
    <definedName name="geolh" localSheetId="9">'[31]DU&amp;B'!#REF!</definedName>
    <definedName name="geolh">'[31]DU&amp;B'!#REF!</definedName>
    <definedName name="Geotex">[46]Beton!$L$2153:$V$2213</definedName>
    <definedName name="geotextile" localSheetId="4">[31]Analisa!#REF!</definedName>
    <definedName name="geotextile" localSheetId="1">[31]Analisa!#REF!</definedName>
    <definedName name="geotextile" localSheetId="7">[31]Analisa!#REF!</definedName>
    <definedName name="geotextile" localSheetId="8">[31]Analisa!#REF!</definedName>
    <definedName name="geotextile" localSheetId="16">[31]Analisa!#REF!</definedName>
    <definedName name="geotextile" localSheetId="9">[31]Analisa!#REF!</definedName>
    <definedName name="geotextile">[31]Analisa!#REF!</definedName>
    <definedName name="geou" localSheetId="1">'[31]DU&amp;B'!#REF!</definedName>
    <definedName name="geou" localSheetId="7">'[31]DU&amp;B'!#REF!</definedName>
    <definedName name="geou" localSheetId="8">'[31]DU&amp;B'!#REF!</definedName>
    <definedName name="geou" localSheetId="16">'[31]DU&amp;B'!#REF!</definedName>
    <definedName name="geou" localSheetId="9">'[31]DU&amp;B'!#REF!</definedName>
    <definedName name="geou">'[31]DU&amp;B'!#REF!</definedName>
    <definedName name="gevel" localSheetId="1">[33]Analisis!#REF!</definedName>
    <definedName name="gevel" localSheetId="7">[34]Analisis!#REF!</definedName>
    <definedName name="gevel" localSheetId="8">[34]Analisis!#REF!</definedName>
    <definedName name="gevel" localSheetId="16">[34]Analisis!#REF!</definedName>
    <definedName name="gevel" localSheetId="0">[34]Analisis!#REF!</definedName>
    <definedName name="gevel" localSheetId="9">[34]Analisis!#REF!</definedName>
    <definedName name="gevel">[34]Analisis!#REF!</definedName>
    <definedName name="gi">'[1]Upah&amp;Bahan'!$U$821</definedName>
    <definedName name="gil">'[1]Upah&amp;Bahan'!$U$709</definedName>
    <definedName name="gila">'[1]Upah&amp;Bahan'!$U$653</definedName>
    <definedName name="GILAS" localSheetId="1">#REF!</definedName>
    <definedName name="GILAS" localSheetId="7">#REF!</definedName>
    <definedName name="GILAS" localSheetId="8">#REF!</definedName>
    <definedName name="GILAS" localSheetId="16">#REF!</definedName>
    <definedName name="GILAS" localSheetId="9">#REF!</definedName>
    <definedName name="GILAS">#REF!</definedName>
    <definedName name="grader" localSheetId="1">#REF!</definedName>
    <definedName name="grader" localSheetId="7">#REF!</definedName>
    <definedName name="grader" localSheetId="8">#REF!</definedName>
    <definedName name="grader" localSheetId="16">#REF!</definedName>
    <definedName name="grader" localSheetId="0">#REF!</definedName>
    <definedName name="grader" localSheetId="9">#REF!</definedName>
    <definedName name="grader">#REF!</definedName>
    <definedName name="grase" localSheetId="7">'[31]DU&amp;B'!#REF!</definedName>
    <definedName name="grase" localSheetId="8">'[31]DU&amp;B'!#REF!</definedName>
    <definedName name="grase" localSheetId="16">'[31]DU&amp;B'!#REF!</definedName>
    <definedName name="grase" localSheetId="9">'[31]DU&amp;B'!#REF!</definedName>
    <definedName name="grase">'[31]DU&amp;B'!#REF!</definedName>
    <definedName name="GRAVEL" localSheetId="1">#REF!</definedName>
    <definedName name="GRAVEL" localSheetId="7">#REF!</definedName>
    <definedName name="GRAVEL" localSheetId="8">#REF!</definedName>
    <definedName name="GRAVEL" localSheetId="16">#REF!</definedName>
    <definedName name="GRAVEL" localSheetId="9">#REF!</definedName>
    <definedName name="GRAVEL">#REF!</definedName>
    <definedName name="grendeljendela" localSheetId="1">[29]cover!#REF!</definedName>
    <definedName name="grendeljendela" localSheetId="7">[30]cover!#REF!</definedName>
    <definedName name="grendeljendela" localSheetId="8">[30]cover!#REF!</definedName>
    <definedName name="grendeljendela" localSheetId="16">[30]cover!#REF!</definedName>
    <definedName name="grendeljendela" localSheetId="0">[30]cover!#REF!</definedName>
    <definedName name="grendeljendela" localSheetId="9">[30]cover!#REF!</definedName>
    <definedName name="grendeljendela">[30]cover!#REF!</definedName>
    <definedName name="grum" localSheetId="7">'[45]DU&amp;B'!#REF!</definedName>
    <definedName name="grum" localSheetId="8">'[45]DU&amp;B'!#REF!</definedName>
    <definedName name="grum" localSheetId="16">'[45]DU&amp;B'!#REF!</definedName>
    <definedName name="grum" localSheetId="9">'[45]DU&amp;B'!#REF!</definedName>
    <definedName name="grum">'[45]DU&amp;B'!#REF!</definedName>
    <definedName name="gypsum.9" localSheetId="1">#REF!</definedName>
    <definedName name="gypsum.9" localSheetId="7">#REF!</definedName>
    <definedName name="gypsum.9" localSheetId="8">#REF!</definedName>
    <definedName name="gypsum.9" localSheetId="16">#REF!</definedName>
    <definedName name="gypsum.9" localSheetId="9">#REF!</definedName>
    <definedName name="gypsum.9">#REF!</definedName>
    <definedName name="gypsum.prf" localSheetId="7">#REF!</definedName>
    <definedName name="gypsum.prf" localSheetId="8">#REF!</definedName>
    <definedName name="gypsum.prf" localSheetId="16">#REF!</definedName>
    <definedName name="gypsum.prf" localSheetId="9">#REF!</definedName>
    <definedName name="gypsum.prf">#REF!</definedName>
    <definedName name="h" localSheetId="7">#REF!</definedName>
    <definedName name="h" localSheetId="8">#REF!</definedName>
    <definedName name="h" localSheetId="16">#REF!</definedName>
    <definedName name="h" localSheetId="9">#REF!</definedName>
    <definedName name="h">#REF!</definedName>
    <definedName name="H." localSheetId="7">#REF!</definedName>
    <definedName name="H." localSheetId="8">#REF!</definedName>
    <definedName name="H." localSheetId="16">#REF!</definedName>
    <definedName name="H." localSheetId="9">#REF!</definedName>
    <definedName name="H.">#REF!</definedName>
    <definedName name="H.06" localSheetId="1">#REF!</definedName>
    <definedName name="H.06" localSheetId="7">#REF!</definedName>
    <definedName name="H.06" localSheetId="8">#REF!</definedName>
    <definedName name="H.06" localSheetId="16">#REF!</definedName>
    <definedName name="H.06" localSheetId="0">#REF!</definedName>
    <definedName name="H.06" localSheetId="9">#REF!</definedName>
    <definedName name="H.06">#REF!</definedName>
    <definedName name="H.07" localSheetId="7">#REF!</definedName>
    <definedName name="H.07" localSheetId="8">#REF!</definedName>
    <definedName name="H.07" localSheetId="16">#REF!</definedName>
    <definedName name="H.07" localSheetId="9">#REF!</definedName>
    <definedName name="H.07">#REF!</definedName>
    <definedName name="H.10" localSheetId="7">#REF!</definedName>
    <definedName name="H.10" localSheetId="8">#REF!</definedName>
    <definedName name="H.10" localSheetId="16">#REF!</definedName>
    <definedName name="H.10" localSheetId="0">#REF!</definedName>
    <definedName name="H.10" localSheetId="9">#REF!</definedName>
    <definedName name="H.10">#REF!</definedName>
    <definedName name="H.10A" localSheetId="7">#REF!</definedName>
    <definedName name="H.10A" localSheetId="8">#REF!</definedName>
    <definedName name="H.10A" localSheetId="16">#REF!</definedName>
    <definedName name="H.10A" localSheetId="9">#REF!</definedName>
    <definedName name="H.10A">#REF!</definedName>
    <definedName name="H.11" localSheetId="7">#REF!</definedName>
    <definedName name="H.11" localSheetId="8">#REF!</definedName>
    <definedName name="H.11" localSheetId="16">#REF!</definedName>
    <definedName name="H.11" localSheetId="9">#REF!</definedName>
    <definedName name="H.11">#REF!</definedName>
    <definedName name="H.15" localSheetId="7">#REF!</definedName>
    <definedName name="H.15" localSheetId="8">#REF!</definedName>
    <definedName name="H.15" localSheetId="16">#REF!</definedName>
    <definedName name="H.15" localSheetId="0">#REF!</definedName>
    <definedName name="H.15" localSheetId="9">#REF!</definedName>
    <definedName name="H.15">#REF!</definedName>
    <definedName name="H.8A" localSheetId="7">#REF!</definedName>
    <definedName name="H.8A" localSheetId="8">#REF!</definedName>
    <definedName name="H.8A" localSheetId="16">#REF!</definedName>
    <definedName name="H.8A" localSheetId="9">#REF!</definedName>
    <definedName name="H.8A">#REF!</definedName>
    <definedName name="H11111111111111" localSheetId="7">#REF!</definedName>
    <definedName name="H11111111111111" localSheetId="8">#REF!</definedName>
    <definedName name="H11111111111111" localSheetId="16">#REF!</definedName>
    <definedName name="H11111111111111" localSheetId="9">#REF!</definedName>
    <definedName name="H11111111111111">#REF!</definedName>
    <definedName name="hakangin" localSheetId="1">[29]cover!#REF!</definedName>
    <definedName name="hakangin" localSheetId="7">[30]cover!#REF!</definedName>
    <definedName name="hakangin" localSheetId="8">[30]cover!#REF!</definedName>
    <definedName name="hakangin" localSheetId="16">[30]cover!#REF!</definedName>
    <definedName name="hakangin" localSheetId="0">[30]cover!#REF!</definedName>
    <definedName name="hakangin" localSheetId="9">[30]cover!#REF!</definedName>
    <definedName name="hakangin">[30]cover!#REF!</definedName>
    <definedName name="Hammer" localSheetId="1">[43]rekap!$D$78</definedName>
    <definedName name="Hammer">[44]rekap!$D$78</definedName>
    <definedName name="HAPUS" localSheetId="1">#REF!</definedName>
    <definedName name="HAPUS" localSheetId="7">#REF!</definedName>
    <definedName name="HAPUS" localSheetId="8">#REF!</definedName>
    <definedName name="HAPUS" localSheetId="16">#REF!</definedName>
    <definedName name="HAPUS" localSheetId="9">#REF!</definedName>
    <definedName name="HAPUS">#REF!</definedName>
    <definedName name="HARGA" localSheetId="7">#REF!</definedName>
    <definedName name="HARGA" localSheetId="8">#REF!</definedName>
    <definedName name="HARGA" localSheetId="16">#REF!</definedName>
    <definedName name="HARGA" localSheetId="9">#REF!</definedName>
    <definedName name="HARGA">#REF!</definedName>
    <definedName name="harga\" localSheetId="1">#REF!</definedName>
    <definedName name="harga\" localSheetId="7">#REF!</definedName>
    <definedName name="harga\" localSheetId="8">#REF!</definedName>
    <definedName name="harga\" localSheetId="16">#REF!</definedName>
    <definedName name="harga\" localSheetId="0">#REF!</definedName>
    <definedName name="harga\" localSheetId="9">#REF!</definedName>
    <definedName name="harga\">#REF!</definedName>
    <definedName name="HARGA_BAHAN" localSheetId="7">#REF!</definedName>
    <definedName name="HARGA_BAHAN" localSheetId="8">#REF!</definedName>
    <definedName name="HARGA_BAHAN" localSheetId="16">#REF!</definedName>
    <definedName name="HARGA_BAHAN" localSheetId="0">#REF!</definedName>
    <definedName name="HARGA_BAHAN" localSheetId="9">#REF!</definedName>
    <definedName name="HARGA_BAHAN">#REF!</definedName>
    <definedName name="hargasatuan" localSheetId="1">#REF!</definedName>
    <definedName name="hargasatuan" localSheetId="7">#REF!</definedName>
    <definedName name="hargasatuan" localSheetId="8">#REF!</definedName>
    <definedName name="hargasatuan" localSheetId="16">#REF!</definedName>
    <definedName name="hargasatuan" localSheetId="0">#REF!</definedName>
    <definedName name="hargasatuan" localSheetId="9">#REF!</definedName>
    <definedName name="hargasatuan">#REF!</definedName>
    <definedName name="hari">'[1]Upah&amp;Bahan'!$C$41</definedName>
    <definedName name="HASIL">'[2]Rekap Bill'!$J$31</definedName>
    <definedName name="hcs" localSheetId="1">#REF!</definedName>
    <definedName name="hcs" localSheetId="7">#REF!</definedName>
    <definedName name="hcs" localSheetId="8">#REF!</definedName>
    <definedName name="hcs" localSheetId="16">#REF!</definedName>
    <definedName name="hcs" localSheetId="9">#REF!</definedName>
    <definedName name="hcs">#REF!</definedName>
    <definedName name="hcslab" localSheetId="1">'[40]WF '!#REF!</definedName>
    <definedName name="hcslab" localSheetId="7">'[40]WF '!#REF!</definedName>
    <definedName name="hcslab" localSheetId="8">'[40]WF '!#REF!</definedName>
    <definedName name="hcslab" localSheetId="16">'[40]WF '!#REF!</definedName>
    <definedName name="hcslab" localSheetId="9">'[40]WF '!#REF!</definedName>
    <definedName name="hcslab">'[40]WF '!#REF!</definedName>
    <definedName name="he" localSheetId="1">#REF!</definedName>
    <definedName name="he" localSheetId="7">#REF!</definedName>
    <definedName name="he" localSheetId="8">#REF!</definedName>
    <definedName name="he" localSheetId="16">#REF!</definedName>
    <definedName name="he" localSheetId="9">#REF!</definedName>
    <definedName name="he">#REF!</definedName>
    <definedName name="hg">'[1]Upah&amp;Bahan'!$C$55</definedName>
    <definedName name="hidrolik" localSheetId="4">'[31]DU&amp;B'!#REF!</definedName>
    <definedName name="hidrolik" localSheetId="1">'[31]DU&amp;B'!#REF!</definedName>
    <definedName name="hidrolik" localSheetId="7">'[31]DU&amp;B'!#REF!</definedName>
    <definedName name="hidrolik" localSheetId="8">'[31]DU&amp;B'!#REF!</definedName>
    <definedName name="hidrolik" localSheetId="16">'[31]DU&amp;B'!#REF!</definedName>
    <definedName name="hidrolik" localSheetId="9">'[31]DU&amp;B'!#REF!</definedName>
    <definedName name="hidrolik">'[31]DU&amp;B'!#REF!</definedName>
    <definedName name="hidup" localSheetId="1">#REF!</definedName>
    <definedName name="hidup" localSheetId="7">#REF!</definedName>
    <definedName name="hidup" localSheetId="8">#REF!</definedName>
    <definedName name="hidup" localSheetId="16">#REF!</definedName>
    <definedName name="hidup" localSheetId="9">#REF!</definedName>
    <definedName name="hidup">#REF!</definedName>
    <definedName name="hpbp" localSheetId="7">#REF!</definedName>
    <definedName name="hpbp" localSheetId="8">#REF!</definedName>
    <definedName name="hpbp" localSheetId="16">#REF!</definedName>
    <definedName name="hpbp" localSheetId="0">#REF!</definedName>
    <definedName name="hpbp" localSheetId="9">#REF!</definedName>
    <definedName name="hpbp">#REF!</definedName>
    <definedName name="hpkst" localSheetId="7">#REF!</definedName>
    <definedName name="hpkst" localSheetId="8">#REF!</definedName>
    <definedName name="hpkst" localSheetId="16">#REF!</definedName>
    <definedName name="hpkst" localSheetId="0">#REF!</definedName>
    <definedName name="hpkst" localSheetId="9">#REF!</definedName>
    <definedName name="hpkst">#REF!</definedName>
    <definedName name="hppt" localSheetId="7">#REF!</definedName>
    <definedName name="hppt" localSheetId="8">#REF!</definedName>
    <definedName name="hppt" localSheetId="16">#REF!</definedName>
    <definedName name="hppt" localSheetId="0">#REF!</definedName>
    <definedName name="hppt" localSheetId="9">#REF!</definedName>
    <definedName name="hppt">#REF!</definedName>
    <definedName name="HRS" localSheetId="7">#REF!</definedName>
    <definedName name="HRS" localSheetId="8">#REF!</definedName>
    <definedName name="HRS" localSheetId="16">#REF!</definedName>
    <definedName name="HRS" localSheetId="9">#REF!</definedName>
    <definedName name="HRS">#REF!</definedName>
    <definedName name="i" localSheetId="7">#REF!</definedName>
    <definedName name="i" localSheetId="8">#REF!</definedName>
    <definedName name="i" localSheetId="16">#REF!</definedName>
    <definedName name="i" localSheetId="9">#REF!</definedName>
    <definedName name="i">#REF!</definedName>
    <definedName name="I." localSheetId="7">#REF!</definedName>
    <definedName name="I." localSheetId="8">#REF!</definedName>
    <definedName name="I." localSheetId="16">#REF!</definedName>
    <definedName name="I." localSheetId="9">#REF!</definedName>
    <definedName name="I.">#REF!</definedName>
    <definedName name="I.2" localSheetId="7">#REF!</definedName>
    <definedName name="I.2" localSheetId="8">#REF!</definedName>
    <definedName name="I.2" localSheetId="16">#REF!</definedName>
    <definedName name="I.2" localSheetId="9">#REF!</definedName>
    <definedName name="I.2">#REF!</definedName>
    <definedName name="iat">'[3]Upah&amp;Bahan'!$C$55</definedName>
    <definedName name="IIIST" localSheetId="1">'[51]3TH'!$DR$13:$DR$504</definedName>
    <definedName name="IIIST">'[52]3TH'!$DR$13:$DR$504</definedName>
    <definedName name="IIST" localSheetId="1">'[14]2RD'!$DR$13:$DR$504</definedName>
    <definedName name="IIST">'[15]2RD'!$DR$13:$DR$504</definedName>
    <definedName name="ijuk" localSheetId="4">'[45]DU&amp;B'!#REF!</definedName>
    <definedName name="ijuk" localSheetId="1">'[45]DU&amp;B'!#REF!</definedName>
    <definedName name="ijuk" localSheetId="7">'[45]DU&amp;B'!#REF!</definedName>
    <definedName name="ijuk" localSheetId="8">'[45]DU&amp;B'!#REF!</definedName>
    <definedName name="ijuk" localSheetId="16">'[45]DU&amp;B'!#REF!</definedName>
    <definedName name="ijuk" localSheetId="9">'[45]DU&amp;B'!#REF!</definedName>
    <definedName name="ijuk">'[45]DU&amp;B'!#REF!</definedName>
    <definedName name="ikiran">'[3]Upah&amp;Bahan'!$C$18</definedName>
    <definedName name="IN" localSheetId="4">[8]BPS!#REF!</definedName>
    <definedName name="IN" localSheetId="1">[8]BPS!#REF!</definedName>
    <definedName name="IN" localSheetId="7">[8]BPS!#REF!</definedName>
    <definedName name="IN" localSheetId="8">[8]BPS!#REF!</definedName>
    <definedName name="IN" localSheetId="16">[8]BPS!#REF!</definedName>
    <definedName name="IN" localSheetId="0">[8]BPS!#REF!</definedName>
    <definedName name="IN" localSheetId="9">[8]BPS!#REF!</definedName>
    <definedName name="IN">[8]BPS!#REF!</definedName>
    <definedName name="Ist">'[8]1st'!$B$12:$B$503</definedName>
    <definedName name="item" localSheetId="4">'[3]Kuantitas &amp; Harga'!#REF!</definedName>
    <definedName name="item" localSheetId="1">'[3]Kuantitas &amp; Harga'!#REF!</definedName>
    <definedName name="item" localSheetId="7">'[3]Kuantitas &amp; Harga'!#REF!</definedName>
    <definedName name="item" localSheetId="8">'[3]Kuantitas &amp; Harga'!#REF!</definedName>
    <definedName name="item" localSheetId="16">'[3]Kuantitas &amp; Harga'!#REF!</definedName>
    <definedName name="item" localSheetId="9">'[3]Kuantitas &amp; Harga'!#REF!</definedName>
    <definedName name="item">'[3]Kuantitas &amp; Harga'!#REF!</definedName>
    <definedName name="IVST" localSheetId="1">'[14]4TH'!$DR$13:$DR$504</definedName>
    <definedName name="IVST">'[15]4TH'!$DR$13:$DR$504</definedName>
    <definedName name="J." localSheetId="1">#REF!</definedName>
    <definedName name="J." localSheetId="7">#REF!</definedName>
    <definedName name="J." localSheetId="8">#REF!</definedName>
    <definedName name="J." localSheetId="16">#REF!</definedName>
    <definedName name="J." localSheetId="9">#REF!</definedName>
    <definedName name="J.">#REF!</definedName>
    <definedName name="ja" localSheetId="7">#REF!</definedName>
    <definedName name="ja" localSheetId="8">#REF!</definedName>
    <definedName name="ja" localSheetId="16">#REF!</definedName>
    <definedName name="ja" localSheetId="9">#REF!</definedName>
    <definedName name="ja">#REF!</definedName>
    <definedName name="JACKHAMMER">'[11]An. Alat'!$A$711:$J$769</definedName>
    <definedName name="jal" localSheetId="1">#REF!</definedName>
    <definedName name="jal" localSheetId="7">#REF!</definedName>
    <definedName name="jal" localSheetId="8">#REF!</definedName>
    <definedName name="jal" localSheetId="16">#REF!</definedName>
    <definedName name="jal" localSheetId="9">#REF!</definedName>
    <definedName name="jal">#REF!</definedName>
    <definedName name="jalan" localSheetId="1">[31]Analisa!#REF!</definedName>
    <definedName name="jalan" localSheetId="7">[31]Analisa!#REF!</definedName>
    <definedName name="jalan" localSheetId="8">[31]Analisa!#REF!</definedName>
    <definedName name="jalan" localSheetId="16">[31]Analisa!#REF!</definedName>
    <definedName name="jalan" localSheetId="9">[31]Analisa!#REF!</definedName>
    <definedName name="jalan">[31]Analisa!#REF!</definedName>
    <definedName name="jalusi" localSheetId="1">[33]Analisis!#REF!</definedName>
    <definedName name="jalusi" localSheetId="7">[34]Analisis!#REF!</definedName>
    <definedName name="jalusi" localSheetId="8">[34]Analisis!#REF!</definedName>
    <definedName name="jalusi" localSheetId="16">[34]Analisis!#REF!</definedName>
    <definedName name="jalusi" localSheetId="0">[34]Analisis!#REF!</definedName>
    <definedName name="jalusi" localSheetId="9">[34]Analisis!#REF!</definedName>
    <definedName name="jalusi">[34]Analisis!#REF!</definedName>
    <definedName name="jika">'[1]Upah&amp;Bahan'!$C$19</definedName>
    <definedName name="jopie" localSheetId="4">'[3]Upah&amp;Bahan'!#REF!</definedName>
    <definedName name="jopie" localSheetId="1">'[3]Upah&amp;Bahan'!#REF!</definedName>
    <definedName name="jopie" localSheetId="7">'[3]Upah&amp;Bahan'!#REF!</definedName>
    <definedName name="jopie" localSheetId="8">'[3]Upah&amp;Bahan'!#REF!</definedName>
    <definedName name="jopie" localSheetId="16">'[3]Upah&amp;Bahan'!#REF!</definedName>
    <definedName name="jopie" localSheetId="9">'[3]Upah&amp;Bahan'!#REF!</definedName>
    <definedName name="jopie">'[3]Upah&amp;Bahan'!#REF!</definedName>
    <definedName name="JUDUL" localSheetId="1">#REF!</definedName>
    <definedName name="JUDUL" localSheetId="7">#REF!</definedName>
    <definedName name="JUDUL" localSheetId="8">#REF!</definedName>
    <definedName name="JUDUL" localSheetId="16">#REF!</definedName>
    <definedName name="JUDUL" localSheetId="9">#REF!</definedName>
    <definedName name="JUDUL">#REF!</definedName>
    <definedName name="k" localSheetId="1">[8]BPS!#REF!</definedName>
    <definedName name="k" localSheetId="7">[8]BPS!#REF!</definedName>
    <definedName name="k" localSheetId="8">[8]BPS!#REF!</definedName>
    <definedName name="k" localSheetId="16">[8]BPS!#REF!</definedName>
    <definedName name="k" localSheetId="0">[8]BPS!#REF!</definedName>
    <definedName name="k" localSheetId="9">[8]BPS!#REF!</definedName>
    <definedName name="k">[8]BPS!#REF!</definedName>
    <definedName name="k." localSheetId="1">#REF!</definedName>
    <definedName name="k." localSheetId="7">#REF!</definedName>
    <definedName name="k." localSheetId="8">#REF!</definedName>
    <definedName name="k." localSheetId="16">#REF!</definedName>
    <definedName name="k." localSheetId="9">#REF!</definedName>
    <definedName name="k.">#REF!</definedName>
    <definedName name="K.012" localSheetId="1">[53]anaK!#REF!</definedName>
    <definedName name="K.012" localSheetId="7">[53]anaK!#REF!</definedName>
    <definedName name="K.012" localSheetId="8">[53]anaK!#REF!</definedName>
    <definedName name="K.012" localSheetId="16">[53]anaK!#REF!</definedName>
    <definedName name="K.012" localSheetId="9">[53]anaK!#REF!</definedName>
    <definedName name="K.012">[53]anaK!#REF!</definedName>
    <definedName name="K.017" localSheetId="1">#REF!</definedName>
    <definedName name="K.017" localSheetId="7">#REF!</definedName>
    <definedName name="K.017" localSheetId="8">#REF!</definedName>
    <definedName name="K.017" localSheetId="16">#REF!</definedName>
    <definedName name="K.017" localSheetId="9">#REF!</definedName>
    <definedName name="K.017">#REF!</definedName>
    <definedName name="K.18" localSheetId="1">#REF!</definedName>
    <definedName name="K.18" localSheetId="7">#REF!</definedName>
    <definedName name="K.18" localSheetId="8">#REF!</definedName>
    <definedName name="K.18" localSheetId="16">#REF!</definedName>
    <definedName name="K.18" localSheetId="9">#REF!</definedName>
    <definedName name="K.18">#REF!</definedName>
    <definedName name="K.224" localSheetId="1">[53]anaK!#REF!</definedName>
    <definedName name="K.224" localSheetId="7">[53]anaK!#REF!</definedName>
    <definedName name="K.224" localSheetId="8">[53]anaK!#REF!</definedName>
    <definedName name="K.224" localSheetId="16">[53]anaK!#REF!</definedName>
    <definedName name="K.224" localSheetId="9">[53]anaK!#REF!</definedName>
    <definedName name="K.224">[53]anaK!#REF!</definedName>
    <definedName name="K.321" localSheetId="1">[53]anaK!#REF!</definedName>
    <definedName name="K.321" localSheetId="7">[53]anaK!#REF!</definedName>
    <definedName name="K.321" localSheetId="8">[53]anaK!#REF!</definedName>
    <definedName name="K.321" localSheetId="16">[53]anaK!#REF!</definedName>
    <definedName name="K.321" localSheetId="9">[53]anaK!#REF!</definedName>
    <definedName name="K.321">[53]anaK!#REF!</definedName>
    <definedName name="K.35" localSheetId="1">#REF!</definedName>
    <definedName name="K.35" localSheetId="7">#REF!</definedName>
    <definedName name="K.35" localSheetId="8">#REF!</definedName>
    <definedName name="K.35" localSheetId="16">#REF!</definedName>
    <definedName name="K.35" localSheetId="9">#REF!</definedName>
    <definedName name="K.35">#REF!</definedName>
    <definedName name="k.35a" localSheetId="1">#REF!</definedName>
    <definedName name="k.35a" localSheetId="7">#REF!</definedName>
    <definedName name="k.35a" localSheetId="8">#REF!</definedName>
    <definedName name="k.35a" localSheetId="16">#REF!</definedName>
    <definedName name="k.35a" localSheetId="0">#REF!</definedName>
    <definedName name="k.35a" localSheetId="9">#REF!</definedName>
    <definedName name="k.35a">#REF!</definedName>
    <definedName name="k.35b" localSheetId="7">#REF!</definedName>
    <definedName name="k.35b" localSheetId="8">#REF!</definedName>
    <definedName name="k.35b" localSheetId="16">#REF!</definedName>
    <definedName name="k.35b" localSheetId="0">#REF!</definedName>
    <definedName name="k.35b" localSheetId="9">#REF!</definedName>
    <definedName name="k.35b">#REF!</definedName>
    <definedName name="k.40.40.roman.crk" localSheetId="7">#REF!</definedName>
    <definedName name="k.40.40.roman.crk" localSheetId="8">#REF!</definedName>
    <definedName name="k.40.40.roman.crk" localSheetId="16">#REF!</definedName>
    <definedName name="k.40.40.roman.crk" localSheetId="9">#REF!</definedName>
    <definedName name="k.40.40.roman.crk">#REF!</definedName>
    <definedName name="K.514" localSheetId="7">[53]anaK!#REF!</definedName>
    <definedName name="K.514" localSheetId="8">[53]anaK!#REF!</definedName>
    <definedName name="K.514" localSheetId="16">[53]anaK!#REF!</definedName>
    <definedName name="K.514" localSheetId="9">[53]anaK!#REF!</definedName>
    <definedName name="K.514">[53]anaK!#REF!</definedName>
    <definedName name="K.528" localSheetId="7">[53]anaK!#REF!</definedName>
    <definedName name="K.528" localSheetId="8">[53]anaK!#REF!</definedName>
    <definedName name="K.528" localSheetId="16">[53]anaK!#REF!</definedName>
    <definedName name="K.528" localSheetId="9">[53]anaK!#REF!</definedName>
    <definedName name="K.528">[53]anaK!#REF!</definedName>
    <definedName name="K.618" localSheetId="7">[53]anaK!#REF!</definedName>
    <definedName name="K.618" localSheetId="8">[53]anaK!#REF!</definedName>
    <definedName name="K.618" localSheetId="16">[53]anaK!#REF!</definedName>
    <definedName name="K.618" localSheetId="9">[53]anaK!#REF!</definedName>
    <definedName name="K.618">[53]anaK!#REF!</definedName>
    <definedName name="K.636" localSheetId="7">[53]anaK!#REF!</definedName>
    <definedName name="K.636" localSheetId="8">[53]anaK!#REF!</definedName>
    <definedName name="K.636" localSheetId="16">[53]anaK!#REF!</definedName>
    <definedName name="K.636" localSheetId="9">[53]anaK!#REF!</definedName>
    <definedName name="K.636">[53]anaK!#REF!</definedName>
    <definedName name="K.710" localSheetId="7">[53]anaK!#REF!</definedName>
    <definedName name="K.710" localSheetId="8">[53]anaK!#REF!</definedName>
    <definedName name="K.710" localSheetId="16">[53]anaK!#REF!</definedName>
    <definedName name="K.710" localSheetId="9">[53]anaK!#REF!</definedName>
    <definedName name="K.710">[53]anaK!#REF!</definedName>
    <definedName name="K.715" localSheetId="7">[53]anaK!#REF!</definedName>
    <definedName name="K.715" localSheetId="8">[53]anaK!#REF!</definedName>
    <definedName name="K.715" localSheetId="16">[53]anaK!#REF!</definedName>
    <definedName name="K.715" localSheetId="9">[53]anaK!#REF!</definedName>
    <definedName name="K.715">[53]anaK!#REF!</definedName>
    <definedName name="K.720" localSheetId="7">[53]anaK!#REF!</definedName>
    <definedName name="K.720" localSheetId="8">[53]anaK!#REF!</definedName>
    <definedName name="K.720" localSheetId="16">[53]anaK!#REF!</definedName>
    <definedName name="K.720" localSheetId="9">[53]anaK!#REF!</definedName>
    <definedName name="K.720">[53]anaK!#REF!</definedName>
    <definedName name="K.721" localSheetId="7">[53]anaK!#REF!</definedName>
    <definedName name="K.721" localSheetId="8">[53]anaK!#REF!</definedName>
    <definedName name="K.721" localSheetId="16">[53]anaK!#REF!</definedName>
    <definedName name="K.721" localSheetId="9">[53]anaK!#REF!</definedName>
    <definedName name="K.721">[53]anaK!#REF!</definedName>
    <definedName name="k.beton" localSheetId="1">#REF!</definedName>
    <definedName name="k.beton" localSheetId="7">#REF!</definedName>
    <definedName name="k.beton" localSheetId="8">#REF!</definedName>
    <definedName name="k.beton" localSheetId="16">#REF!</definedName>
    <definedName name="k.beton" localSheetId="9">#REF!</definedName>
    <definedName name="k.beton">#REF!</definedName>
    <definedName name="k.ddg.20.25.rmn.crk" localSheetId="7">#REF!</definedName>
    <definedName name="k.ddg.20.25.rmn.crk" localSheetId="8">#REF!</definedName>
    <definedName name="k.ddg.20.25.rmn.crk" localSheetId="16">#REF!</definedName>
    <definedName name="k.ddg.20.25.rmn.crk" localSheetId="9">#REF!</definedName>
    <definedName name="k.ddg.20.25.rmn.crk">#REF!</definedName>
    <definedName name="k.ddg.rmn.20.25.pls" localSheetId="7">#REF!</definedName>
    <definedName name="k.ddg.rmn.20.25.pls" localSheetId="8">#REF!</definedName>
    <definedName name="k.ddg.rmn.20.25.pls" localSheetId="16">#REF!</definedName>
    <definedName name="k.ddg.rmn.20.25.pls" localSheetId="9">#REF!</definedName>
    <definedName name="k.ddg.rmn.20.25.pls">#REF!</definedName>
    <definedName name="k.lnt.rmn.20.20.crk" localSheetId="7">#REF!</definedName>
    <definedName name="k.lnt.rmn.20.20.crk" localSheetId="8">#REF!</definedName>
    <definedName name="k.lnt.rmn.20.20.crk" localSheetId="16">#REF!</definedName>
    <definedName name="k.lnt.rmn.20.20.crk" localSheetId="9">#REF!</definedName>
    <definedName name="k.lnt.rmn.20.20.crk">#REF!</definedName>
    <definedName name="k.lnt.rmn.20.20.pls" localSheetId="7">#REF!</definedName>
    <definedName name="k.lnt.rmn.20.20.pls" localSheetId="8">#REF!</definedName>
    <definedName name="k.lnt.rmn.20.20.pls" localSheetId="16">#REF!</definedName>
    <definedName name="k.lnt.rmn.20.20.pls" localSheetId="9">#REF!</definedName>
    <definedName name="k.lnt.rmn.20.20.pls">#REF!</definedName>
    <definedName name="k.rmmn.30.30.pls" localSheetId="7">#REF!</definedName>
    <definedName name="k.rmmn.30.30.pls" localSheetId="8">#REF!</definedName>
    <definedName name="k.rmmn.30.30.pls" localSheetId="16">#REF!</definedName>
    <definedName name="k.rmmn.30.30.pls" localSheetId="9">#REF!</definedName>
    <definedName name="k.rmmn.30.30.pls">#REF!</definedName>
    <definedName name="k.rmn.30.30.crk" localSheetId="7">#REF!</definedName>
    <definedName name="k.rmn.30.30.crk" localSheetId="8">#REF!</definedName>
    <definedName name="k.rmn.30.30.crk" localSheetId="16">#REF!</definedName>
    <definedName name="k.rmn.30.30.crk" localSheetId="9">#REF!</definedName>
    <definedName name="k.rmn.30.30.crk">#REF!</definedName>
    <definedName name="k.roman.40.40.polos" localSheetId="7">#REF!</definedName>
    <definedName name="k.roman.40.40.polos" localSheetId="8">#REF!</definedName>
    <definedName name="k.roman.40.40.polos" localSheetId="16">#REF!</definedName>
    <definedName name="k.roman.40.40.polos" localSheetId="9">#REF!</definedName>
    <definedName name="k.roman.40.40.polos">#REF!</definedName>
    <definedName name="k.tukang" localSheetId="7">#REF!</definedName>
    <definedName name="k.tukang" localSheetId="8">#REF!</definedName>
    <definedName name="k.tukang" localSheetId="16">#REF!</definedName>
    <definedName name="k.tukang" localSheetId="9">#REF!</definedName>
    <definedName name="k.tukang">#REF!</definedName>
    <definedName name="k.zink" localSheetId="7">#REF!</definedName>
    <definedName name="k.zink" localSheetId="8">#REF!</definedName>
    <definedName name="k.zink" localSheetId="16">#REF!</definedName>
    <definedName name="k.zink" localSheetId="9">#REF!</definedName>
    <definedName name="k.zink">#REF!</definedName>
    <definedName name="k_035" localSheetId="7">#REF!</definedName>
    <definedName name="k_035" localSheetId="8">#REF!</definedName>
    <definedName name="k_035" localSheetId="16">#REF!</definedName>
    <definedName name="k_035" localSheetId="0">#REF!</definedName>
    <definedName name="k_035" localSheetId="9">#REF!</definedName>
    <definedName name="k_035">#REF!</definedName>
    <definedName name="K_720" localSheetId="7">#REF!</definedName>
    <definedName name="K_720" localSheetId="8">#REF!</definedName>
    <definedName name="K_720" localSheetId="16">#REF!</definedName>
    <definedName name="K_720" localSheetId="0">#REF!</definedName>
    <definedName name="K_720" localSheetId="9">#REF!</definedName>
    <definedName name="K_720">#REF!</definedName>
    <definedName name="K_TUKANG" localSheetId="7">#REF!</definedName>
    <definedName name="K_TUKANG" localSheetId="8">#REF!</definedName>
    <definedName name="K_TUKANG" localSheetId="16">#REF!</definedName>
    <definedName name="K_TUKANG" localSheetId="9">#REF!</definedName>
    <definedName name="K_TUKANG">#REF!</definedName>
    <definedName name="ka">'[1]Upah&amp;Bahan'!$U$1381</definedName>
    <definedName name="Kab." localSheetId="1">#REF!</definedName>
    <definedName name="Kab." localSheetId="7">#REF!</definedName>
    <definedName name="Kab." localSheetId="8">#REF!</definedName>
    <definedName name="Kab." localSheetId="16">#REF!</definedName>
    <definedName name="Kab." localSheetId="0">#REF!</definedName>
    <definedName name="Kab." localSheetId="9">#REF!</definedName>
    <definedName name="Kab.">#REF!</definedName>
    <definedName name="kaca" localSheetId="1">[33]Analisis!#REF!</definedName>
    <definedName name="kaca" localSheetId="7">[34]Analisis!#REF!</definedName>
    <definedName name="kaca" localSheetId="8">[34]Analisis!#REF!</definedName>
    <definedName name="kaca" localSheetId="16">[34]Analisis!#REF!</definedName>
    <definedName name="kaca" localSheetId="0">[34]Analisis!#REF!</definedName>
    <definedName name="kaca" localSheetId="9">[34]Analisis!#REF!</definedName>
    <definedName name="kaca">[34]Analisis!#REF!</definedName>
    <definedName name="kaca.es" localSheetId="1">#REF!</definedName>
    <definedName name="kaca.es" localSheetId="7">#REF!</definedName>
    <definedName name="kaca.es" localSheetId="8">#REF!</definedName>
    <definedName name="kaca.es" localSheetId="16">#REF!</definedName>
    <definedName name="kaca.es" localSheetId="9">#REF!</definedName>
    <definedName name="kaca.es">#REF!</definedName>
    <definedName name="kaca.p.5" localSheetId="7">#REF!</definedName>
    <definedName name="kaca.p.5" localSheetId="8">#REF!</definedName>
    <definedName name="kaca.p.5" localSheetId="16">#REF!</definedName>
    <definedName name="kaca.p.5" localSheetId="9">#REF!</definedName>
    <definedName name="kaca.p.5">#REF!</definedName>
    <definedName name="kacamati" localSheetId="1">[33]Analisis!#REF!</definedName>
    <definedName name="kacamati" localSheetId="7">[34]Analisis!#REF!</definedName>
    <definedName name="kacamati" localSheetId="8">[34]Analisis!#REF!</definedName>
    <definedName name="kacamati" localSheetId="16">[34]Analisis!#REF!</definedName>
    <definedName name="kacamati" localSheetId="0">[34]Analisis!#REF!</definedName>
    <definedName name="kacamati" localSheetId="9">[34]Analisis!#REF!</definedName>
    <definedName name="kacamati">[34]Analisis!#REF!</definedName>
    <definedName name="kaki">'[3]Upah&amp;Bahan'!$C$52</definedName>
    <definedName name="kal">'[1]Upah&amp;Bahan'!$U$1325</definedName>
    <definedName name="kali">'[1]Upah&amp;Bahan'!$U$1269</definedName>
    <definedName name="kalut">'[3]Upah&amp;Bahan'!$C$20</definedName>
    <definedName name="kamu">'[1]Upah&amp;Bahan'!$C$20</definedName>
    <definedName name="kaol" localSheetId="4">'[3]Kuantitas &amp; Harga'!#REF!</definedName>
    <definedName name="kaol" localSheetId="1">'[3]Kuantitas &amp; Harga'!#REF!</definedName>
    <definedName name="kaol" localSheetId="7">'[3]Kuantitas &amp; Harga'!#REF!</definedName>
    <definedName name="kaol" localSheetId="8">'[3]Kuantitas &amp; Harga'!#REF!</definedName>
    <definedName name="kaol" localSheetId="16">'[3]Kuantitas &amp; Harga'!#REF!</definedName>
    <definedName name="kaol" localSheetId="9">'[3]Kuantitas &amp; Harga'!#REF!</definedName>
    <definedName name="kaol">'[3]Kuantitas &amp; Harga'!#REF!</definedName>
    <definedName name="Kapi" localSheetId="1">#REF!</definedName>
    <definedName name="Kapi" localSheetId="7">#REF!</definedName>
    <definedName name="Kapi" localSheetId="8">#REF!</definedName>
    <definedName name="Kapi" localSheetId="16">#REF!</definedName>
    <definedName name="Kapi" localSheetId="9">#REF!</definedName>
    <definedName name="Kapi">#REF!</definedName>
    <definedName name="kapur" localSheetId="1">#REF!</definedName>
    <definedName name="kapur" localSheetId="7">#REF!</definedName>
    <definedName name="kapur" localSheetId="8">#REF!</definedName>
    <definedName name="kapur" localSheetId="16">#REF!</definedName>
    <definedName name="kapur" localSheetId="0">#REF!</definedName>
    <definedName name="kapur" localSheetId="9">#REF!</definedName>
    <definedName name="kapur">#REF!</definedName>
    <definedName name="kawat" localSheetId="7">#REF!</definedName>
    <definedName name="kawat" localSheetId="8">#REF!</definedName>
    <definedName name="kawat" localSheetId="16">#REF!</definedName>
    <definedName name="kawat" localSheetId="0">#REF!</definedName>
    <definedName name="kawat" localSheetId="9">#REF!</definedName>
    <definedName name="kawat">#REF!</definedName>
    <definedName name="kayu" localSheetId="7">#REF!</definedName>
    <definedName name="kayu" localSheetId="8">#REF!</definedName>
    <definedName name="kayu" localSheetId="16">#REF!</definedName>
    <definedName name="kayu" localSheetId="0">#REF!</definedName>
    <definedName name="kayu" localSheetId="9">#REF!</definedName>
    <definedName name="kayu">#REF!</definedName>
    <definedName name="kayuacuan" localSheetId="7">#REF!</definedName>
    <definedName name="kayuacuan" localSheetId="8">#REF!</definedName>
    <definedName name="kayuacuan" localSheetId="16">#REF!</definedName>
    <definedName name="kayuacuan" localSheetId="0">#REF!</definedName>
    <definedName name="kayuacuan" localSheetId="9">#REF!</definedName>
    <definedName name="kayuacuan">#REF!</definedName>
    <definedName name="Kayubakar" localSheetId="7">'[18]harga lama'!#REF!</definedName>
    <definedName name="Kayubakar" localSheetId="8">'[18]harga lama'!#REF!</definedName>
    <definedName name="Kayubakar" localSheetId="16">'[18]harga lama'!#REF!</definedName>
    <definedName name="Kayubakar" localSheetId="9">'[18]harga lama'!#REF!</definedName>
    <definedName name="Kayubakar">'[18]harga lama'!#REF!</definedName>
    <definedName name="kayukm" localSheetId="7">'[31]DU&amp;B'!#REF!</definedName>
    <definedName name="kayukm" localSheetId="8">'[31]DU&amp;B'!#REF!</definedName>
    <definedName name="kayukm" localSheetId="16">'[31]DU&amp;B'!#REF!</definedName>
    <definedName name="kayukm" localSheetId="9">'[31]DU&amp;B'!#REF!</definedName>
    <definedName name="kayukm">'[31]DU&amp;B'!#REF!</definedName>
    <definedName name="kayul" localSheetId="7">'[31]DU&amp;B'!#REF!</definedName>
    <definedName name="kayul" localSheetId="8">'[31]DU&amp;B'!#REF!</definedName>
    <definedName name="kayul" localSheetId="16">'[31]DU&amp;B'!#REF!</definedName>
    <definedName name="kayul" localSheetId="9">'[31]DU&amp;B'!#REF!</definedName>
    <definedName name="kayul">'[31]DU&amp;B'!#REF!</definedName>
    <definedName name="kayulh" localSheetId="7">'[31]DU&amp;B'!#REF!</definedName>
    <definedName name="kayulh" localSheetId="8">'[31]DU&amp;B'!#REF!</definedName>
    <definedName name="kayulh" localSheetId="16">'[31]DU&amp;B'!#REF!</definedName>
    <definedName name="kayulh" localSheetId="9">'[31]DU&amp;B'!#REF!</definedName>
    <definedName name="kayulh">'[31]DU&amp;B'!#REF!</definedName>
    <definedName name="KayuSeumantok" localSheetId="1">'[54]Daftar upah'!$G$56</definedName>
    <definedName name="KayuSeumantok">'[55]Daftar upah'!$G$56</definedName>
    <definedName name="kayuu" localSheetId="4">'[31]DU&amp;B'!#REF!</definedName>
    <definedName name="kayuu" localSheetId="1">'[31]DU&amp;B'!#REF!</definedName>
    <definedName name="kayuu" localSheetId="7">'[31]DU&amp;B'!#REF!</definedName>
    <definedName name="kayuu" localSheetId="8">'[31]DU&amp;B'!#REF!</definedName>
    <definedName name="kayuu" localSheetId="16">'[31]DU&amp;B'!#REF!</definedName>
    <definedName name="kayuu" localSheetId="9">'[31]DU&amp;B'!#REF!</definedName>
    <definedName name="kayuu">'[31]DU&amp;B'!#REF!</definedName>
    <definedName name="kb" localSheetId="1">#REF!</definedName>
    <definedName name="kb" localSheetId="7">#REF!</definedName>
    <definedName name="kb" localSheetId="8">#REF!</definedName>
    <definedName name="kb" localSheetId="16">#REF!</definedName>
    <definedName name="kb" localSheetId="9">#REF!</definedName>
    <definedName name="kb">#REF!</definedName>
    <definedName name="kbe" localSheetId="7">#REF!</definedName>
    <definedName name="kbe" localSheetId="8">#REF!</definedName>
    <definedName name="kbe" localSheetId="16">#REF!</definedName>
    <definedName name="kbe" localSheetId="9">#REF!</definedName>
    <definedName name="kbe">#REF!</definedName>
    <definedName name="kbek" localSheetId="7">#REF!</definedName>
    <definedName name="kbek" localSheetId="8">#REF!</definedName>
    <definedName name="kbek" localSheetId="16">#REF!</definedName>
    <definedName name="kbek" localSheetId="9">#REF!</definedName>
    <definedName name="kbek">#REF!</definedName>
    <definedName name="kbet">'[37]DU&amp;B'!$F$17</definedName>
    <definedName name="kbro" localSheetId="4">'[45]DU&amp;B'!#REF!</definedName>
    <definedName name="kbro" localSheetId="1">'[45]DU&amp;B'!#REF!</definedName>
    <definedName name="kbro" localSheetId="7">'[45]DU&amp;B'!#REF!</definedName>
    <definedName name="kbro" localSheetId="8">'[45]DU&amp;B'!#REF!</definedName>
    <definedName name="kbro" localSheetId="16">'[45]DU&amp;B'!#REF!</definedName>
    <definedName name="kbro" localSheetId="9">'[45]DU&amp;B'!#REF!</definedName>
    <definedName name="kbro">'[45]DU&amp;B'!#REF!</definedName>
    <definedName name="kd" localSheetId="1">#REF!</definedName>
    <definedName name="kd" localSheetId="7">#REF!</definedName>
    <definedName name="kd" localSheetId="8">#REF!</definedName>
    <definedName name="kd" localSheetId="16">#REF!</definedName>
    <definedName name="kd" localSheetId="9">#REF!</definedName>
    <definedName name="kd">#REF!</definedName>
    <definedName name="kdol" localSheetId="1">'[45]DU&amp;B'!#REF!</definedName>
    <definedName name="kdol" localSheetId="7">'[45]DU&amp;B'!#REF!</definedName>
    <definedName name="kdol" localSheetId="8">'[45]DU&amp;B'!#REF!</definedName>
    <definedName name="kdol" localSheetId="16">'[45]DU&amp;B'!#REF!</definedName>
    <definedName name="kdol" localSheetId="9">'[45]DU&amp;B'!#REF!</definedName>
    <definedName name="kdol">'[45]DU&amp;B'!#REF!</definedName>
    <definedName name="ke" localSheetId="7">'[3]Kuantitas &amp; Harga'!#REF!</definedName>
    <definedName name="ke" localSheetId="8">'[3]Kuantitas &amp; Harga'!#REF!</definedName>
    <definedName name="ke" localSheetId="16">'[3]Kuantitas &amp; Harga'!#REF!</definedName>
    <definedName name="ke" localSheetId="9">'[3]Kuantitas &amp; Harga'!#REF!</definedName>
    <definedName name="ke">'[3]Kuantitas &amp; Harga'!#REF!</definedName>
    <definedName name="keadaan">'[3]Upah&amp;Bahan'!$C$26</definedName>
    <definedName name="kenek" localSheetId="1">#REF!</definedName>
    <definedName name="kenek" localSheetId="7">#REF!</definedName>
    <definedName name="kenek" localSheetId="8">#REF!</definedName>
    <definedName name="kenek" localSheetId="16">#REF!</definedName>
    <definedName name="kenek" localSheetId="9">#REF!</definedName>
    <definedName name="kenek">#REF!</definedName>
    <definedName name="Kepala.Tukang">'[56]DAFTAR HARGA'!$E$12</definedName>
    <definedName name="KEPALA_TUKANG">'[57]Harga Bahan'!$H$147</definedName>
    <definedName name="Kepalatukang" localSheetId="1">[43]rekap!$D$6</definedName>
    <definedName name="Kepalatukang">[44]rekap!$D$6</definedName>
    <definedName name="kepalatukanglas" localSheetId="4">[30]cover!#REF!</definedName>
    <definedName name="kepalatukanglas" localSheetId="1">[29]cover!#REF!</definedName>
    <definedName name="kepalatukanglas" localSheetId="7">[30]cover!#REF!</definedName>
    <definedName name="kepalatukanglas" localSheetId="8">[30]cover!#REF!</definedName>
    <definedName name="kepalatukanglas" localSheetId="16">[30]cover!#REF!</definedName>
    <definedName name="kepalatukanglas" localSheetId="0">[30]cover!#REF!</definedName>
    <definedName name="kepalatukanglas" localSheetId="9">[30]cover!#REF!</definedName>
    <definedName name="kepalatukanglas">[30]cover!#REF!</definedName>
    <definedName name="Ker.L13" localSheetId="1">#REF!</definedName>
    <definedName name="Ker.L13" localSheetId="7">#REF!</definedName>
    <definedName name="Ker.L13" localSheetId="8">#REF!</definedName>
    <definedName name="Ker.L13" localSheetId="16">#REF!</definedName>
    <definedName name="Ker.L13" localSheetId="9">#REF!</definedName>
    <definedName name="Ker.L13">#REF!</definedName>
    <definedName name="keramik20" localSheetId="1">[29]cover!#REF!</definedName>
    <definedName name="keramik20" localSheetId="7">[30]cover!#REF!</definedName>
    <definedName name="keramik20" localSheetId="8">[30]cover!#REF!</definedName>
    <definedName name="keramik20" localSheetId="16">[30]cover!#REF!</definedName>
    <definedName name="keramik20" localSheetId="0">[30]cover!#REF!</definedName>
    <definedName name="keramik20" localSheetId="9">[30]cover!#REF!</definedName>
    <definedName name="keramik20">[30]cover!#REF!</definedName>
    <definedName name="keramik25" localSheetId="1">[29]cover!#REF!</definedName>
    <definedName name="keramik25" localSheetId="7">[30]cover!#REF!</definedName>
    <definedName name="keramik25" localSheetId="8">[30]cover!#REF!</definedName>
    <definedName name="keramik25" localSheetId="16">[30]cover!#REF!</definedName>
    <definedName name="keramik25" localSheetId="0">[30]cover!#REF!</definedName>
    <definedName name="keramik25" localSheetId="9">[30]cover!#REF!</definedName>
    <definedName name="keramik25">[30]cover!#REF!</definedName>
    <definedName name="kerawang" localSheetId="1">[33]Analisis!#REF!</definedName>
    <definedName name="kerawang" localSheetId="7">[34]Analisis!#REF!</definedName>
    <definedName name="kerawang" localSheetId="8">[34]Analisis!#REF!</definedName>
    <definedName name="kerawang" localSheetId="16">[34]Analisis!#REF!</definedName>
    <definedName name="kerawang" localSheetId="0">[34]Analisis!#REF!</definedName>
    <definedName name="kerawang" localSheetId="9">[34]Analisis!#REF!</definedName>
    <definedName name="kerawang">[34]Analisis!#REF!</definedName>
    <definedName name="kerikil" localSheetId="1">#REF!</definedName>
    <definedName name="kerikil" localSheetId="7">#REF!</definedName>
    <definedName name="kerikil" localSheetId="8">#REF!</definedName>
    <definedName name="kerikil" localSheetId="16">#REF!</definedName>
    <definedName name="kerikil" localSheetId="0">#REF!</definedName>
    <definedName name="kerikil" localSheetId="9">#REF!</definedName>
    <definedName name="kerikil">#REF!</definedName>
    <definedName name="Kerikilbeton" localSheetId="1">'[18]harga lama'!#REF!</definedName>
    <definedName name="Kerikilbeton" localSheetId="7">'[18]harga lama'!#REF!</definedName>
    <definedName name="Kerikilbeton" localSheetId="8">'[18]harga lama'!#REF!</definedName>
    <definedName name="Kerikilbeton" localSheetId="16">'[18]harga lama'!#REF!</definedName>
    <definedName name="Kerikilbeton" localSheetId="9">'[18]harga lama'!#REF!</definedName>
    <definedName name="Kerikilbeton">'[18]harga lama'!#REF!</definedName>
    <definedName name="kerikiljagung" localSheetId="1">[29]cover!#REF!</definedName>
    <definedName name="kerikiljagung" localSheetId="7">[30]cover!#REF!</definedName>
    <definedName name="kerikiljagung" localSheetId="8">[30]cover!#REF!</definedName>
    <definedName name="kerikiljagung" localSheetId="16">[30]cover!#REF!</definedName>
    <definedName name="kerikiljagung" localSheetId="0">[30]cover!#REF!</definedName>
    <definedName name="kerikiljagung" localSheetId="9">[30]cover!#REF!</definedName>
    <definedName name="kerikiljagung">[30]cover!#REF!</definedName>
    <definedName name="kerikill" localSheetId="7">'[31]DU&amp;B'!#REF!</definedName>
    <definedName name="kerikill" localSheetId="8">'[31]DU&amp;B'!#REF!</definedName>
    <definedName name="kerikill" localSheetId="16">'[31]DU&amp;B'!#REF!</definedName>
    <definedName name="kerikill" localSheetId="9">'[31]DU&amp;B'!#REF!</definedName>
    <definedName name="kerikill">'[31]DU&amp;B'!#REF!</definedName>
    <definedName name="kerikillh" localSheetId="7">'[31]DU&amp;B'!#REF!</definedName>
    <definedName name="kerikillh" localSheetId="8">'[31]DU&amp;B'!#REF!</definedName>
    <definedName name="kerikillh" localSheetId="16">'[31]DU&amp;B'!#REF!</definedName>
    <definedName name="kerikillh" localSheetId="9">'[31]DU&amp;B'!#REF!</definedName>
    <definedName name="kerikillh">'[31]DU&amp;B'!#REF!</definedName>
    <definedName name="kerikilpecahtersaring" localSheetId="1">#REF!</definedName>
    <definedName name="kerikilpecahtersaring" localSheetId="7">#REF!</definedName>
    <definedName name="kerikilpecahtersaring" localSheetId="8">#REF!</definedName>
    <definedName name="kerikilpecahtersaring" localSheetId="16">#REF!</definedName>
    <definedName name="kerikilpecahtersaring" localSheetId="0">#REF!</definedName>
    <definedName name="kerikilpecahtersaring" localSheetId="9">#REF!</definedName>
    <definedName name="kerikilpecahtersaring">#REF!</definedName>
    <definedName name="kerikilsungaitidaktersaring" localSheetId="7">#REF!</definedName>
    <definedName name="kerikilsungaitidaktersaring" localSheetId="8">#REF!</definedName>
    <definedName name="kerikilsungaitidaktersaring" localSheetId="16">#REF!</definedName>
    <definedName name="kerikilsungaitidaktersaring" localSheetId="0">#REF!</definedName>
    <definedName name="kerikilsungaitidaktersaring" localSheetId="9">#REF!</definedName>
    <definedName name="kerikilsungaitidaktersaring">#REF!</definedName>
    <definedName name="kerikilu" localSheetId="7">'[31]DU&amp;B'!#REF!</definedName>
    <definedName name="kerikilu" localSheetId="8">'[31]DU&amp;B'!#REF!</definedName>
    <definedName name="kerikilu" localSheetId="16">'[31]DU&amp;B'!#REF!</definedName>
    <definedName name="kerikilu" localSheetId="9">'[31]DU&amp;B'!#REF!</definedName>
    <definedName name="kerikilu">'[31]DU&amp;B'!#REF!</definedName>
    <definedName name="KES.A" localSheetId="1">#REF!</definedName>
    <definedName name="KES.A" localSheetId="7">#REF!</definedName>
    <definedName name="KES.A" localSheetId="8">#REF!</definedName>
    <definedName name="KES.A" localSheetId="16">#REF!</definedName>
    <definedName name="KES.A" localSheetId="9">#REF!</definedName>
    <definedName name="KES.A">#REF!</definedName>
    <definedName name="KES.B" localSheetId="7">#REF!</definedName>
    <definedName name="KES.B" localSheetId="8">#REF!</definedName>
    <definedName name="KES.B" localSheetId="16">#REF!</definedName>
    <definedName name="KES.B" localSheetId="9">#REF!</definedName>
    <definedName name="KES.B">#REF!</definedName>
    <definedName name="KES.C" localSheetId="7">#REF!</definedName>
    <definedName name="KES.C" localSheetId="8">#REF!</definedName>
    <definedName name="KES.C" localSheetId="16">#REF!</definedName>
    <definedName name="KES.C" localSheetId="9">#REF!</definedName>
    <definedName name="KES.C">#REF!</definedName>
    <definedName name="KES.D" localSheetId="7">#REF!</definedName>
    <definedName name="KES.D" localSheetId="8">#REF!</definedName>
    <definedName name="KES.D" localSheetId="16">#REF!</definedName>
    <definedName name="KES.D" localSheetId="9">#REF!</definedName>
    <definedName name="KES.D">#REF!</definedName>
    <definedName name="KES.E" localSheetId="7">#REF!</definedName>
    <definedName name="KES.E" localSheetId="8">#REF!</definedName>
    <definedName name="KES.E" localSheetId="16">#REF!</definedName>
    <definedName name="KES.E" localSheetId="9">#REF!</definedName>
    <definedName name="KES.E">#REF!</definedName>
    <definedName name="klurs">'[1]Upah&amp;Bahan'!$C$61</definedName>
    <definedName name="kmp.banjar" localSheetId="1">#REF!</definedName>
    <definedName name="kmp.banjar" localSheetId="7">#REF!</definedName>
    <definedName name="kmp.banjar" localSheetId="8">#REF!</definedName>
    <definedName name="kmp.banjar" localSheetId="16">#REF!</definedName>
    <definedName name="kmp.banjar" localSheetId="9">#REF!</definedName>
    <definedName name="kmp.banjar">#REF!</definedName>
    <definedName name="kode" localSheetId="7">#REF!</definedName>
    <definedName name="kode" localSheetId="8">#REF!</definedName>
    <definedName name="kode" localSheetId="16">#REF!</definedName>
    <definedName name="kode" localSheetId="0">#REF!</definedName>
    <definedName name="kode" localSheetId="9">#REF!</definedName>
    <definedName name="kode">#REF!</definedName>
    <definedName name="Kolom1" localSheetId="7">[23]ANALISA!#REF!</definedName>
    <definedName name="Kolom1" localSheetId="8">[23]ANALISA!#REF!</definedName>
    <definedName name="Kolom1" localSheetId="16">[23]ANALISA!#REF!</definedName>
    <definedName name="Kolom1" localSheetId="9">[23]ANALISA!#REF!</definedName>
    <definedName name="Kolom1">[23]ANALISA!#REF!</definedName>
    <definedName name="Kolom1a" localSheetId="7">[23]ANALISA!#REF!</definedName>
    <definedName name="Kolom1a" localSheetId="8">[23]ANALISA!#REF!</definedName>
    <definedName name="Kolom1a" localSheetId="16">[23]ANALISA!#REF!</definedName>
    <definedName name="Kolom1a" localSheetId="9">[23]ANALISA!#REF!</definedName>
    <definedName name="Kolom1a">[23]ANALISA!#REF!</definedName>
    <definedName name="Kolom2" localSheetId="7">[23]ANALISA!#REF!</definedName>
    <definedName name="Kolom2" localSheetId="8">[23]ANALISA!#REF!</definedName>
    <definedName name="Kolom2" localSheetId="16">[23]ANALISA!#REF!</definedName>
    <definedName name="Kolom2" localSheetId="9">[23]ANALISA!#REF!</definedName>
    <definedName name="Kolom2">[23]ANALISA!#REF!</definedName>
    <definedName name="kolomlantaiI" localSheetId="1">#REF!</definedName>
    <definedName name="kolomlantaiI" localSheetId="7">#REF!</definedName>
    <definedName name="kolomlantaiI" localSheetId="8">#REF!</definedName>
    <definedName name="kolomlantaiI" localSheetId="16">#REF!</definedName>
    <definedName name="kolomlantaiI" localSheetId="9">#REF!</definedName>
    <definedName name="kolomlantaiI">#REF!</definedName>
    <definedName name="Kolompraktis" localSheetId="1">[23]ANALISA!#REF!</definedName>
    <definedName name="Kolompraktis" localSheetId="7">[23]ANALISA!#REF!</definedName>
    <definedName name="Kolompraktis" localSheetId="8">[23]ANALISA!#REF!</definedName>
    <definedName name="Kolompraktis" localSheetId="16">[23]ANALISA!#REF!</definedName>
    <definedName name="Kolompraktis" localSheetId="9">[23]ANALISA!#REF!</definedName>
    <definedName name="Kolompraktis">[23]ANALISA!#REF!</definedName>
    <definedName name="koral" localSheetId="7">'[45]DU&amp;B'!#REF!</definedName>
    <definedName name="koral" localSheetId="8">'[45]DU&amp;B'!#REF!</definedName>
    <definedName name="koral" localSheetId="16">'[45]DU&amp;B'!#REF!</definedName>
    <definedName name="koral" localSheetId="9">'[45]DU&amp;B'!#REF!</definedName>
    <definedName name="koral">'[45]DU&amp;B'!#REF!</definedName>
    <definedName name="kosen" localSheetId="1">[33]Analisis!#REF!</definedName>
    <definedName name="kosen" localSheetId="7">[34]Analisis!#REF!</definedName>
    <definedName name="kosen" localSheetId="8">[34]Analisis!#REF!</definedName>
    <definedName name="kosen" localSheetId="16">[34]Analisis!#REF!</definedName>
    <definedName name="kosen" localSheetId="0">[34]Analisis!#REF!</definedName>
    <definedName name="kosen" localSheetId="9">[34]Analisis!#REF!</definedName>
    <definedName name="kosen">[34]Analisis!#REF!</definedName>
    <definedName name="kp" localSheetId="1">#REF!</definedName>
    <definedName name="kp" localSheetId="7">#REF!</definedName>
    <definedName name="kp" localSheetId="8">#REF!</definedName>
    <definedName name="kp" localSheetId="16">#REF!</definedName>
    <definedName name="kp" localSheetId="9">#REF!</definedName>
    <definedName name="kp">#REF!</definedName>
    <definedName name="kpb" localSheetId="1">#REF!</definedName>
    <definedName name="kpb" localSheetId="7">#REF!</definedName>
    <definedName name="kpb" localSheetId="8">#REF!</definedName>
    <definedName name="kpb" localSheetId="16">#REF!</definedName>
    <definedName name="kpb" localSheetId="0">#REF!</definedName>
    <definedName name="kpb" localSheetId="9">#REF!</definedName>
    <definedName name="kpb">#REF!</definedName>
    <definedName name="kran.bbk" localSheetId="7">#REF!</definedName>
    <definedName name="kran.bbk" localSheetId="8">#REF!</definedName>
    <definedName name="kran.bbk" localSheetId="16">#REF!</definedName>
    <definedName name="kran.bbk" localSheetId="9">#REF!</definedName>
    <definedName name="kran.bbk">#REF!</definedName>
    <definedName name="kran.ddg" localSheetId="7">#REF!</definedName>
    <definedName name="kran.ddg" localSheetId="8">#REF!</definedName>
    <definedName name="kran.ddg" localSheetId="16">#REF!</definedName>
    <definedName name="kran.ddg" localSheetId="9">#REF!</definedName>
    <definedName name="kran.ddg">#REF!</definedName>
    <definedName name="Kran1.5" localSheetId="7">[6]UPAH!#REF!</definedName>
    <definedName name="Kran1.5" localSheetId="8">[6]UPAH!#REF!</definedName>
    <definedName name="Kran1.5" localSheetId="16">[6]UPAH!#REF!</definedName>
    <definedName name="Kran1.5" localSheetId="9">[6]UPAH!#REF!</definedName>
    <definedName name="Kran1.5">[6]UPAH!#REF!</definedName>
    <definedName name="kt" localSheetId="1">#REF!</definedName>
    <definedName name="kt" localSheetId="7">#REF!</definedName>
    <definedName name="kt" localSheetId="8">#REF!</definedName>
    <definedName name="kt" localSheetId="16">#REF!</definedName>
    <definedName name="kt" localSheetId="9">#REF!</definedName>
    <definedName name="kt">#REF!</definedName>
    <definedName name="ktk">'[37]DU&amp;B'!$F$11</definedName>
    <definedName name="ku">'[3]Upah&amp;Bahan'!$C$41</definedName>
    <definedName name="kua" localSheetId="1">#REF!</definedName>
    <definedName name="kua" localSheetId="7">#REF!</definedName>
    <definedName name="kua" localSheetId="8">#REF!</definedName>
    <definedName name="kua" localSheetId="16">#REF!</definedName>
    <definedName name="kua" localSheetId="9">#REF!</definedName>
    <definedName name="kua">#REF!</definedName>
    <definedName name="KUANTITAS">'[7]Kuantitas &amp; Harga'!$A$1:$H$400</definedName>
    <definedName name="kudakuda" localSheetId="4">[34]Analisis!#REF!</definedName>
    <definedName name="kudakuda" localSheetId="1">[33]Analisis!#REF!</definedName>
    <definedName name="kudakuda" localSheetId="7">[34]Analisis!#REF!</definedName>
    <definedName name="kudakuda" localSheetId="8">[34]Analisis!#REF!</definedName>
    <definedName name="kudakuda" localSheetId="16">[34]Analisis!#REF!</definedName>
    <definedName name="kudakuda" localSheetId="0">[34]Analisis!#REF!</definedName>
    <definedName name="kudakuda" localSheetId="9">[34]Analisis!#REF!</definedName>
    <definedName name="kudakuda">[34]Analisis!#REF!</definedName>
    <definedName name="KULIT" localSheetId="1">#REF!</definedName>
    <definedName name="KULIT" localSheetId="7">#REF!</definedName>
    <definedName name="KULIT" localSheetId="8">#REF!</definedName>
    <definedName name="KULIT" localSheetId="16">#REF!</definedName>
    <definedName name="KULIT" localSheetId="9">#REF!</definedName>
    <definedName name="KULIT">#REF!</definedName>
    <definedName name="Kunci2slag" localSheetId="1">[29]cover!#REF!</definedName>
    <definedName name="Kunci2slag" localSheetId="7">[30]cover!#REF!</definedName>
    <definedName name="Kunci2slag" localSheetId="8">[30]cover!#REF!</definedName>
    <definedName name="Kunci2slag" localSheetId="16">[30]cover!#REF!</definedName>
    <definedName name="Kunci2slag" localSheetId="0">[30]cover!#REF!</definedName>
    <definedName name="Kunci2slag" localSheetId="9">[30]cover!#REF!</definedName>
    <definedName name="Kunci2slag">[30]cover!#REF!</definedName>
    <definedName name="kurs">[1]ANGKUT!$H$42</definedName>
    <definedName name="kursi">'[1]Upah&amp;Bahan'!$C$90</definedName>
    <definedName name="kusen" localSheetId="1">#REF!</definedName>
    <definedName name="kusen" localSheetId="7">#REF!</definedName>
    <definedName name="kusen" localSheetId="8">#REF!</definedName>
    <definedName name="kusen" localSheetId="16">#REF!</definedName>
    <definedName name="kusen" localSheetId="9">#REF!</definedName>
    <definedName name="kusen">#REF!</definedName>
    <definedName name="kusen.alum" localSheetId="7">#REF!</definedName>
    <definedName name="kusen.alum" localSheetId="8">#REF!</definedName>
    <definedName name="kusen.alum" localSheetId="16">#REF!</definedName>
    <definedName name="kusen.alum" localSheetId="9">#REF!</definedName>
    <definedName name="kusen.alum">#REF!</definedName>
    <definedName name="l" localSheetId="7">[8]BPS!#REF!</definedName>
    <definedName name="l" localSheetId="8">[8]BPS!#REF!</definedName>
    <definedName name="l" localSheetId="16">[8]BPS!#REF!</definedName>
    <definedName name="l" localSheetId="0">[8]BPS!#REF!</definedName>
    <definedName name="l" localSheetId="9">[8]BPS!#REF!</definedName>
    <definedName name="l">[8]BPS!#REF!</definedName>
    <definedName name="L.061" localSheetId="1">'[58]Upah Kerja'!$E$17</definedName>
    <definedName name="L.061">'[59]Upah Kerja'!$E$17</definedName>
    <definedName name="l.068" localSheetId="1">#REF!</definedName>
    <definedName name="l.068" localSheetId="7">#REF!</definedName>
    <definedName name="l.068" localSheetId="8">#REF!</definedName>
    <definedName name="l.068" localSheetId="16">#REF!</definedName>
    <definedName name="l.068" localSheetId="9">#REF!</definedName>
    <definedName name="l.068">#REF!</definedName>
    <definedName name="L.071" localSheetId="7">#REF!</definedName>
    <definedName name="L.071" localSheetId="8">#REF!</definedName>
    <definedName name="L.071" localSheetId="16">#REF!</definedName>
    <definedName name="L.071" localSheetId="9">#REF!</definedName>
    <definedName name="L.071">#REF!</definedName>
    <definedName name="L.073" localSheetId="7">#REF!</definedName>
    <definedName name="L.073" localSheetId="8">#REF!</definedName>
    <definedName name="L.073" localSheetId="16">#REF!</definedName>
    <definedName name="L.073" localSheetId="9">#REF!</definedName>
    <definedName name="L.073">#REF!</definedName>
    <definedName name="l.075" localSheetId="7">#REF!</definedName>
    <definedName name="l.075" localSheetId="8">#REF!</definedName>
    <definedName name="l.075" localSheetId="16">#REF!</definedName>
    <definedName name="l.075" localSheetId="9">#REF!</definedName>
    <definedName name="l.075">#REF!</definedName>
    <definedName name="L.079" localSheetId="7">#REF!</definedName>
    <definedName name="L.079" localSheetId="8">#REF!</definedName>
    <definedName name="L.079" localSheetId="16">#REF!</definedName>
    <definedName name="L.079" localSheetId="9">#REF!</definedName>
    <definedName name="L.079">#REF!</definedName>
    <definedName name="L.081" localSheetId="1">'[58]Upah Kerja'!$E$23</definedName>
    <definedName name="L.081">'[59]Upah Kerja'!$E$23</definedName>
    <definedName name="L.082" localSheetId="1">#REF!</definedName>
    <definedName name="L.082" localSheetId="7">#REF!</definedName>
    <definedName name="L.082" localSheetId="8">#REF!</definedName>
    <definedName name="L.082" localSheetId="16">#REF!</definedName>
    <definedName name="L.082" localSheetId="9">#REF!</definedName>
    <definedName name="L.082">#REF!</definedName>
    <definedName name="L.083" localSheetId="1">'[58]Upah Kerja'!$E$24</definedName>
    <definedName name="L.083">'[59]Upah Kerja'!$E$24</definedName>
    <definedName name="l.085" localSheetId="1">#REF!</definedName>
    <definedName name="l.085" localSheetId="7">#REF!</definedName>
    <definedName name="l.085" localSheetId="8">#REF!</definedName>
    <definedName name="l.085" localSheetId="16">#REF!</definedName>
    <definedName name="l.085" localSheetId="9">#REF!</definedName>
    <definedName name="l.085">#REF!</definedName>
    <definedName name="L.091" localSheetId="1">'[58]Upah Kerja'!$E$25</definedName>
    <definedName name="L.091">'[59]Upah Kerja'!$E$25</definedName>
    <definedName name="l.095" localSheetId="1">#REF!</definedName>
    <definedName name="l.095" localSheetId="7">#REF!</definedName>
    <definedName name="l.095" localSheetId="8">#REF!</definedName>
    <definedName name="l.095" localSheetId="16">#REF!</definedName>
    <definedName name="l.095" localSheetId="9">#REF!</definedName>
    <definedName name="l.095">#REF!</definedName>
    <definedName name="L.099" localSheetId="1">'[58]Upah Kerja'!$E$26</definedName>
    <definedName name="L.099">'[59]Upah Kerja'!$E$26</definedName>
    <definedName name="L.101" localSheetId="1">#REF!</definedName>
    <definedName name="L.101" localSheetId="7">#REF!</definedName>
    <definedName name="L.101" localSheetId="8">#REF!</definedName>
    <definedName name="L.101" localSheetId="16">#REF!</definedName>
    <definedName name="L.101" localSheetId="9">#REF!</definedName>
    <definedName name="L.101">#REF!</definedName>
    <definedName name="l.103" localSheetId="7">#REF!</definedName>
    <definedName name="l.103" localSheetId="8">#REF!</definedName>
    <definedName name="l.103" localSheetId="16">#REF!</definedName>
    <definedName name="l.103" localSheetId="9">#REF!</definedName>
    <definedName name="l.103">#REF!</definedName>
    <definedName name="l.105" localSheetId="7">#REF!</definedName>
    <definedName name="l.105" localSheetId="8">#REF!</definedName>
    <definedName name="l.105" localSheetId="16">#REF!</definedName>
    <definedName name="l.105" localSheetId="9">#REF!</definedName>
    <definedName name="l.105">#REF!</definedName>
    <definedName name="L.106" localSheetId="1">'[58]Upah Kerja'!$E$21</definedName>
    <definedName name="L.106">'[59]Upah Kerja'!$E$21</definedName>
    <definedName name="l.107" localSheetId="1">#REF!</definedName>
    <definedName name="l.107" localSheetId="7">#REF!</definedName>
    <definedName name="l.107" localSheetId="8">#REF!</definedName>
    <definedName name="l.107" localSheetId="16">#REF!</definedName>
    <definedName name="l.107" localSheetId="9">#REF!</definedName>
    <definedName name="l.107">#REF!</definedName>
    <definedName name="L.15A" localSheetId="7">#REF!</definedName>
    <definedName name="L.15A" localSheetId="8">#REF!</definedName>
    <definedName name="L.15A" localSheetId="16">#REF!</definedName>
    <definedName name="L.15A" localSheetId="9">#REF!</definedName>
    <definedName name="L.15A">#REF!</definedName>
    <definedName name="lagi">'[3]Upah&amp;Bahan'!$C$27</definedName>
    <definedName name="LAINLAIN">'[7]Kuantitas &amp; Harga'!$A$359:$H$399</definedName>
    <definedName name="laki" localSheetId="1">#REF!</definedName>
    <definedName name="laki" localSheetId="7">#REF!</definedName>
    <definedName name="laki" localSheetId="8">#REF!</definedName>
    <definedName name="laki" localSheetId="16">#REF!</definedName>
    <definedName name="laki" localSheetId="9">#REF!</definedName>
    <definedName name="laki">#REF!</definedName>
    <definedName name="laku">'[1]Upah&amp;Bahan'!$C$18</definedName>
    <definedName name="lama">'[3]Upah&amp;Bahan'!$C$47</definedName>
    <definedName name="Lantaikerami15anti" localSheetId="4">[6]ANALISA!#REF!</definedName>
    <definedName name="Lantaikerami15anti" localSheetId="1">[6]ANALISA!#REF!</definedName>
    <definedName name="Lantaikerami15anti" localSheetId="7">[6]ANALISA!#REF!</definedName>
    <definedName name="Lantaikerami15anti" localSheetId="8">[6]ANALISA!#REF!</definedName>
    <definedName name="Lantaikerami15anti" localSheetId="16">[6]ANALISA!#REF!</definedName>
    <definedName name="Lantaikerami15anti" localSheetId="9">[6]ANALISA!#REF!</definedName>
    <definedName name="Lantaikerami15anti">[6]ANALISA!#REF!</definedName>
    <definedName name="lantaikeramik" localSheetId="1">[33]Analisis!#REF!</definedName>
    <definedName name="lantaikeramik" localSheetId="7">[34]Analisis!#REF!</definedName>
    <definedName name="lantaikeramik" localSheetId="8">[34]Analisis!#REF!</definedName>
    <definedName name="lantaikeramik" localSheetId="16">[34]Analisis!#REF!</definedName>
    <definedName name="lantaikeramik" localSheetId="0">[34]Analisis!#REF!</definedName>
    <definedName name="lantaikeramik" localSheetId="9">[34]Analisis!#REF!</definedName>
    <definedName name="lantaikeramik">[34]Analisis!#REF!</definedName>
    <definedName name="latai" localSheetId="1">[33]Analisis!#REF!</definedName>
    <definedName name="latai" localSheetId="7">[34]Analisis!#REF!</definedName>
    <definedName name="latai" localSheetId="8">[34]Analisis!#REF!</definedName>
    <definedName name="latai" localSheetId="16">[34]Analisis!#REF!</definedName>
    <definedName name="latai" localSheetId="0">[34]Analisis!#REF!</definedName>
    <definedName name="latai" localSheetId="9">[34]Analisis!#REF!</definedName>
    <definedName name="latai">[34]Analisis!#REF!</definedName>
    <definedName name="latasir" localSheetId="1">'[49]DRUP (ASLI)'!$I$363</definedName>
    <definedName name="latasir">'[50]DRUP (ASLI)'!$I$363</definedName>
    <definedName name="len" localSheetId="4">[8]BPS!#REF!</definedName>
    <definedName name="len" localSheetId="1">[8]BPS!#REF!</definedName>
    <definedName name="len" localSheetId="7">[8]BPS!#REF!</definedName>
    <definedName name="len" localSheetId="8">[8]BPS!#REF!</definedName>
    <definedName name="len" localSheetId="16">[8]BPS!#REF!</definedName>
    <definedName name="len" localSheetId="0">[8]BPS!#REF!</definedName>
    <definedName name="len" localSheetId="9">[8]BPS!#REF!</definedName>
    <definedName name="len">[8]BPS!#REF!</definedName>
    <definedName name="lisplank" localSheetId="1">[33]Analisis!#REF!</definedName>
    <definedName name="lisplank" localSheetId="7">[34]Analisis!#REF!</definedName>
    <definedName name="lisplank" localSheetId="8">[34]Analisis!#REF!</definedName>
    <definedName name="lisplank" localSheetId="16">[34]Analisis!#REF!</definedName>
    <definedName name="lisplank" localSheetId="0">[34]Analisis!#REF!</definedName>
    <definedName name="lisplank" localSheetId="9">[34]Analisis!#REF!</definedName>
    <definedName name="lisplank">[34]Analisis!#REF!</definedName>
    <definedName name="ll" localSheetId="1">#REF!</definedName>
    <definedName name="ll" localSheetId="7">#REF!</definedName>
    <definedName name="ll" localSheetId="8">#REF!</definedName>
    <definedName name="ll" localSheetId="16">#REF!</definedName>
    <definedName name="ll" localSheetId="0">#REF!</definedName>
    <definedName name="ll" localSheetId="9">#REF!</definedName>
    <definedName name="ll">#REF!</definedName>
    <definedName name="lo" localSheetId="1">[60]ANALISA!#REF!</definedName>
    <definedName name="lo" localSheetId="7">[60]ANALISA!#REF!</definedName>
    <definedName name="lo" localSheetId="8">[60]ANALISA!#REF!</definedName>
    <definedName name="lo" localSheetId="16">[60]ANALISA!#REF!</definedName>
    <definedName name="lo" localSheetId="9">[60]ANALISA!#REF!</definedName>
    <definedName name="lo">[60]ANALISA!#REF!</definedName>
    <definedName name="loader115" localSheetId="1">#REF!</definedName>
    <definedName name="loader115" localSheetId="7">#REF!</definedName>
    <definedName name="loader115" localSheetId="8">#REF!</definedName>
    <definedName name="loader115" localSheetId="16">#REF!</definedName>
    <definedName name="loader115" localSheetId="0">#REF!</definedName>
    <definedName name="loader115" localSheetId="9">#REF!</definedName>
    <definedName name="loader115">#REF!</definedName>
    <definedName name="loaderwheel80hp" localSheetId="7">#REF!</definedName>
    <definedName name="loaderwheel80hp" localSheetId="8">#REF!</definedName>
    <definedName name="loaderwheel80hp" localSheetId="16">#REF!</definedName>
    <definedName name="loaderwheel80hp" localSheetId="0">#REF!</definedName>
    <definedName name="loaderwheel80hp" localSheetId="9">#REF!</definedName>
    <definedName name="loaderwheel80hp">#REF!</definedName>
    <definedName name="LPAA" localSheetId="7">#REF!</definedName>
    <definedName name="LPAA" localSheetId="8">#REF!</definedName>
    <definedName name="LPAA" localSheetId="16">#REF!</definedName>
    <definedName name="LPAA" localSheetId="0">#REF!</definedName>
    <definedName name="LPAA" localSheetId="9">#REF!</definedName>
    <definedName name="LPAA">#REF!</definedName>
    <definedName name="LPBC" localSheetId="7">#REF!</definedName>
    <definedName name="LPBC" localSheetId="8">#REF!</definedName>
    <definedName name="LPBC" localSheetId="16">#REF!</definedName>
    <definedName name="LPBC" localSheetId="0">#REF!</definedName>
    <definedName name="LPBC" localSheetId="9">#REF!</definedName>
    <definedName name="LPBC">#REF!</definedName>
    <definedName name="lr" localSheetId="7">#REF!</definedName>
    <definedName name="lr" localSheetId="8">#REF!</definedName>
    <definedName name="lr" localSheetId="16">#REF!</definedName>
    <definedName name="lr" localSheetId="9">#REF!</definedName>
    <definedName name="lr">#REF!</definedName>
    <definedName name="m">'[37]DU&amp;B'!$F$10</definedName>
    <definedName name="M.010" localSheetId="1">#REF!</definedName>
    <definedName name="M.010" localSheetId="7">#REF!</definedName>
    <definedName name="M.010" localSheetId="8">#REF!</definedName>
    <definedName name="M.010" localSheetId="16">#REF!</definedName>
    <definedName name="M.010" localSheetId="9">#REF!</definedName>
    <definedName name="M.010">#REF!</definedName>
    <definedName name="M.023" localSheetId="7">#REF!</definedName>
    <definedName name="M.023" localSheetId="8">#REF!</definedName>
    <definedName name="M.023" localSheetId="16">#REF!</definedName>
    <definedName name="M.023" localSheetId="9">#REF!</definedName>
    <definedName name="M.023">#REF!</definedName>
    <definedName name="M.024" localSheetId="7">#REF!</definedName>
    <definedName name="M.024" localSheetId="8">#REF!</definedName>
    <definedName name="M.024" localSheetId="16">#REF!</definedName>
    <definedName name="M.024" localSheetId="9">#REF!</definedName>
    <definedName name="M.024">#REF!</definedName>
    <definedName name="M.025" localSheetId="7">#REF!</definedName>
    <definedName name="M.025" localSheetId="8">#REF!</definedName>
    <definedName name="M.025" localSheetId="16">#REF!</definedName>
    <definedName name="M.025" localSheetId="9">#REF!</definedName>
    <definedName name="M.025">#REF!</definedName>
    <definedName name="m.028" localSheetId="7">#REF!</definedName>
    <definedName name="m.028" localSheetId="8">#REF!</definedName>
    <definedName name="m.028" localSheetId="16">#REF!</definedName>
    <definedName name="m.028" localSheetId="9">#REF!</definedName>
    <definedName name="m.028">#REF!</definedName>
    <definedName name="m.029" localSheetId="7">#REF!</definedName>
    <definedName name="m.029" localSheetId="8">#REF!</definedName>
    <definedName name="m.029" localSheetId="16">#REF!</definedName>
    <definedName name="m.029" localSheetId="9">#REF!</definedName>
    <definedName name="m.029">#REF!</definedName>
    <definedName name="M.040" localSheetId="7">#REF!</definedName>
    <definedName name="M.040" localSheetId="8">#REF!</definedName>
    <definedName name="M.040" localSheetId="16">#REF!</definedName>
    <definedName name="M.040" localSheetId="9">#REF!</definedName>
    <definedName name="M.040">#REF!</definedName>
    <definedName name="M.041" localSheetId="7">#REF!</definedName>
    <definedName name="M.041" localSheetId="8">#REF!</definedName>
    <definedName name="M.041" localSheetId="16">#REF!</definedName>
    <definedName name="M.041" localSheetId="9">#REF!</definedName>
    <definedName name="M.041">#REF!</definedName>
    <definedName name="M.042" localSheetId="7">#REF!</definedName>
    <definedName name="M.042" localSheetId="8">#REF!</definedName>
    <definedName name="M.042" localSheetId="16">#REF!</definedName>
    <definedName name="M.042" localSheetId="9">#REF!</definedName>
    <definedName name="M.042">#REF!</definedName>
    <definedName name="m.045" localSheetId="7">#REF!</definedName>
    <definedName name="m.045" localSheetId="8">#REF!</definedName>
    <definedName name="m.045" localSheetId="16">#REF!</definedName>
    <definedName name="m.045" localSheetId="9">#REF!</definedName>
    <definedName name="m.045">#REF!</definedName>
    <definedName name="m.047" localSheetId="7">#REF!</definedName>
    <definedName name="m.047" localSheetId="8">#REF!</definedName>
    <definedName name="m.047" localSheetId="16">#REF!</definedName>
    <definedName name="m.047" localSheetId="9">#REF!</definedName>
    <definedName name="m.047">#REF!</definedName>
    <definedName name="m.048" localSheetId="7">#REF!</definedName>
    <definedName name="m.048" localSheetId="8">#REF!</definedName>
    <definedName name="m.048" localSheetId="16">#REF!</definedName>
    <definedName name="m.048" localSheetId="9">#REF!</definedName>
    <definedName name="m.048">#REF!</definedName>
    <definedName name="m.049">'[3]Upah&amp;Bahan'!$C$44</definedName>
    <definedName name="M.061" localSheetId="1">#REF!</definedName>
    <definedName name="M.061" localSheetId="7">#REF!</definedName>
    <definedName name="M.061" localSheetId="8">#REF!</definedName>
    <definedName name="M.061" localSheetId="16">#REF!</definedName>
    <definedName name="M.061" localSheetId="9">#REF!</definedName>
    <definedName name="M.061">#REF!</definedName>
    <definedName name="M.065" localSheetId="7">#REF!</definedName>
    <definedName name="M.065" localSheetId="8">#REF!</definedName>
    <definedName name="M.065" localSheetId="16">#REF!</definedName>
    <definedName name="M.065" localSheetId="9">#REF!</definedName>
    <definedName name="M.065">#REF!</definedName>
    <definedName name="m.068">'[3]Upah&amp;Bahan'!$C$90</definedName>
    <definedName name="m.069">'[3]Upah&amp;Bahan'!$C$83</definedName>
    <definedName name="M.080" localSheetId="1">#REF!</definedName>
    <definedName name="M.080" localSheetId="7">#REF!</definedName>
    <definedName name="M.080" localSheetId="8">#REF!</definedName>
    <definedName name="M.080" localSheetId="16">#REF!</definedName>
    <definedName name="M.080" localSheetId="9">#REF!</definedName>
    <definedName name="M.080">#REF!</definedName>
    <definedName name="m.089">'[3]Upah&amp;Bahan'!$C$62</definedName>
    <definedName name="m.105" localSheetId="1">#REF!</definedName>
    <definedName name="m.105" localSheetId="7">#REF!</definedName>
    <definedName name="m.105" localSheetId="8">#REF!</definedName>
    <definedName name="m.105" localSheetId="16">#REF!</definedName>
    <definedName name="m.105" localSheetId="9">#REF!</definedName>
    <definedName name="m.105">#REF!</definedName>
    <definedName name="M.166" localSheetId="7">#REF!</definedName>
    <definedName name="M.166" localSheetId="8">#REF!</definedName>
    <definedName name="M.166" localSheetId="16">#REF!</definedName>
    <definedName name="M.166" localSheetId="9">#REF!</definedName>
    <definedName name="M.166">#REF!</definedName>
    <definedName name="M.167" localSheetId="7">#REF!</definedName>
    <definedName name="M.167" localSheetId="8">#REF!</definedName>
    <definedName name="M.167" localSheetId="16">#REF!</definedName>
    <definedName name="M.167" localSheetId="9">#REF!</definedName>
    <definedName name="M.167">#REF!</definedName>
    <definedName name="m.169" localSheetId="7">#REF!</definedName>
    <definedName name="m.169" localSheetId="8">#REF!</definedName>
    <definedName name="m.169" localSheetId="16">#REF!</definedName>
    <definedName name="m.169" localSheetId="9">#REF!</definedName>
    <definedName name="m.169">#REF!</definedName>
    <definedName name="M.170" localSheetId="7">#REF!</definedName>
    <definedName name="M.170" localSheetId="8">#REF!</definedName>
    <definedName name="M.170" localSheetId="16">#REF!</definedName>
    <definedName name="M.170" localSheetId="9">#REF!</definedName>
    <definedName name="M.170">#REF!</definedName>
    <definedName name="M.180" localSheetId="7">#REF!</definedName>
    <definedName name="M.180" localSheetId="8">#REF!</definedName>
    <definedName name="M.180" localSheetId="16">#REF!</definedName>
    <definedName name="M.180" localSheetId="9">#REF!</definedName>
    <definedName name="M.180">#REF!</definedName>
    <definedName name="m.190">'[1]Upah&amp;Bahan'!$C$100</definedName>
    <definedName name="m.68">'[3]Upah&amp;Bahan'!$C$61</definedName>
    <definedName name="maka">'[1]Upah&amp;Bahan'!$C$44</definedName>
    <definedName name="Mandor" localSheetId="1">[43]rekap!$D$5</definedName>
    <definedName name="Mandor">[44]rekap!$D$5</definedName>
    <definedName name="MANDOR312" localSheetId="1">#REF!</definedName>
    <definedName name="MANDOR312" localSheetId="7">#REF!</definedName>
    <definedName name="MANDOR312" localSheetId="8">#REF!</definedName>
    <definedName name="MANDOR312" localSheetId="16">#REF!</definedName>
    <definedName name="MANDOR312" localSheetId="9">#REF!</definedName>
    <definedName name="MANDOR312">#REF!</definedName>
    <definedName name="MANDOR33" localSheetId="7">#REF!</definedName>
    <definedName name="MANDOR33" localSheetId="8">#REF!</definedName>
    <definedName name="MANDOR33" localSheetId="16">#REF!</definedName>
    <definedName name="MANDOR33" localSheetId="9">#REF!</definedName>
    <definedName name="MANDOR33">#REF!</definedName>
    <definedName name="MANDOR511" localSheetId="7">#REF!</definedName>
    <definedName name="MANDOR511" localSheetId="8">#REF!</definedName>
    <definedName name="MANDOR511" localSheetId="16">#REF!</definedName>
    <definedName name="MANDOR511" localSheetId="9">#REF!</definedName>
    <definedName name="MANDOR511">#REF!</definedName>
    <definedName name="MANDOR512" localSheetId="7">#REF!</definedName>
    <definedName name="MANDOR512" localSheetId="8">#REF!</definedName>
    <definedName name="MANDOR512" localSheetId="16">#REF!</definedName>
    <definedName name="MANDOR512" localSheetId="9">#REF!</definedName>
    <definedName name="MANDOR512">#REF!</definedName>
    <definedName name="MANDOR521" localSheetId="7">#REF!</definedName>
    <definedName name="MANDOR521" localSheetId="8">#REF!</definedName>
    <definedName name="MANDOR521" localSheetId="16">#REF!</definedName>
    <definedName name="MANDOR521" localSheetId="9">#REF!</definedName>
    <definedName name="MANDOR521">#REF!</definedName>
    <definedName name="MANDOR611" localSheetId="7">#REF!</definedName>
    <definedName name="MANDOR611" localSheetId="8">#REF!</definedName>
    <definedName name="MANDOR611" localSheetId="16">#REF!</definedName>
    <definedName name="MANDOR611" localSheetId="9">#REF!</definedName>
    <definedName name="MANDOR611">#REF!</definedName>
    <definedName name="MANDOR753" localSheetId="7">#REF!</definedName>
    <definedName name="MANDOR753" localSheetId="8">#REF!</definedName>
    <definedName name="MANDOR753" localSheetId="16">#REF!</definedName>
    <definedName name="MANDOR753" localSheetId="9">#REF!</definedName>
    <definedName name="MANDOR753">#REF!</definedName>
    <definedName name="MANDOR818" localSheetId="7">#REF!</definedName>
    <definedName name="MANDOR818" localSheetId="8">#REF!</definedName>
    <definedName name="MANDOR818" localSheetId="16">#REF!</definedName>
    <definedName name="MANDOR818" localSheetId="9">#REF!</definedName>
    <definedName name="MANDOR818">#REF!</definedName>
    <definedName name="MANDOR819" localSheetId="7">#REF!</definedName>
    <definedName name="MANDOR819" localSheetId="8">#REF!</definedName>
    <definedName name="MANDOR819" localSheetId="16">#REF!</definedName>
    <definedName name="MANDOR819" localSheetId="9">#REF!</definedName>
    <definedName name="MANDOR819">#REF!</definedName>
    <definedName name="marine" localSheetId="7">'[18]harga lama'!#REF!</definedName>
    <definedName name="marine" localSheetId="8">'[18]harga lama'!#REF!</definedName>
    <definedName name="marine" localSheetId="16">'[18]harga lama'!#REF!</definedName>
    <definedName name="marine" localSheetId="9">'[18]harga lama'!#REF!</definedName>
    <definedName name="marine">'[18]harga lama'!#REF!</definedName>
    <definedName name="mata">'[1]Upah&amp;Bahan'!$C$52</definedName>
    <definedName name="matahari">'[1]Upah&amp;Bahan'!$C$51</definedName>
    <definedName name="MATERIAL">'[7]Basic Price'!$A$18:$G$30</definedName>
    <definedName name="mau">'[3]Upah&amp;Bahan'!$C$54</definedName>
    <definedName name="medan3.4" localSheetId="1">#REF!</definedName>
    <definedName name="medan3.4" localSheetId="7">#REF!</definedName>
    <definedName name="medan3.4" localSheetId="8">#REF!</definedName>
    <definedName name="medan3.4" localSheetId="16">#REF!</definedName>
    <definedName name="medan3.4" localSheetId="9">#REF!</definedName>
    <definedName name="medan3.4">#REF!</definedName>
    <definedName name="medan5.10" localSheetId="7">#REF!</definedName>
    <definedName name="medan5.10" localSheetId="8">#REF!</definedName>
    <definedName name="medan5.10" localSheetId="16">#REF!</definedName>
    <definedName name="medan5.10" localSheetId="9">#REF!</definedName>
    <definedName name="medan5.10">#REF!</definedName>
    <definedName name="medan5.7" localSheetId="7">#REF!</definedName>
    <definedName name="medan5.7" localSheetId="8">#REF!</definedName>
    <definedName name="medan5.7" localSheetId="16">#REF!</definedName>
    <definedName name="medan5.7" localSheetId="9">#REF!</definedName>
    <definedName name="medan5.7">#REF!</definedName>
    <definedName name="medan6.12" localSheetId="7">#REF!</definedName>
    <definedName name="medan6.12" localSheetId="8">#REF!</definedName>
    <definedName name="medan6.12" localSheetId="16">#REF!</definedName>
    <definedName name="medan6.12" localSheetId="9">#REF!</definedName>
    <definedName name="medan6.12">#REF!</definedName>
    <definedName name="medan8.15" localSheetId="7">#REF!</definedName>
    <definedName name="medan8.15" localSheetId="8">#REF!</definedName>
    <definedName name="medan8.15" localSheetId="16">#REF!</definedName>
    <definedName name="medan8.15" localSheetId="9">#REF!</definedName>
    <definedName name="medan8.15">#REF!</definedName>
    <definedName name="meja">'[1]Upah&amp;Bahan'!$C$83</definedName>
    <definedName name="mekanik" localSheetId="4">'[31]DU&amp;B'!#REF!</definedName>
    <definedName name="mekanik" localSheetId="1">'[31]DU&amp;B'!#REF!</definedName>
    <definedName name="mekanik" localSheetId="7">'[31]DU&amp;B'!#REF!</definedName>
    <definedName name="mekanik" localSheetId="8">'[31]DU&amp;B'!#REF!</definedName>
    <definedName name="mekanik" localSheetId="16">'[31]DU&amp;B'!#REF!</definedName>
    <definedName name="mekanik" localSheetId="9">'[31]DU&amp;B'!#REF!</definedName>
    <definedName name="mekanik">'[31]DU&amp;B'!#REF!</definedName>
    <definedName name="mengapa" localSheetId="1">'[3]Kuantitas &amp; Harga'!#REF!</definedName>
    <definedName name="mengapa" localSheetId="7">'[3]Kuantitas &amp; Harga'!#REF!</definedName>
    <definedName name="mengapa" localSheetId="8">'[3]Kuantitas &amp; Harga'!#REF!</definedName>
    <definedName name="mengapa" localSheetId="16">'[3]Kuantitas &amp; Harga'!#REF!</definedName>
    <definedName name="mengapa" localSheetId="9">'[3]Kuantitas &amp; Harga'!#REF!</definedName>
    <definedName name="mengapa">'[3]Kuantitas &amp; Harga'!#REF!</definedName>
    <definedName name="meni.kayu" localSheetId="1">#REF!</definedName>
    <definedName name="meni.kayu" localSheetId="7">#REF!</definedName>
    <definedName name="meni.kayu" localSheetId="8">#REF!</definedName>
    <definedName name="meni.kayu" localSheetId="16">#REF!</definedName>
    <definedName name="meni.kayu" localSheetId="9">#REF!</definedName>
    <definedName name="meni.kayu">#REF!</definedName>
    <definedName name="MENU" localSheetId="1">#REF!</definedName>
    <definedName name="MENU" localSheetId="7">#REF!</definedName>
    <definedName name="MENU" localSheetId="8">#REF!</definedName>
    <definedName name="MENU" localSheetId="16">#REF!</definedName>
    <definedName name="MENU" localSheetId="9">#REF!</definedName>
    <definedName name="MENU">#REF!</definedName>
    <definedName name="menunggu">'[3]Upah&amp;Bahan'!$C$17</definedName>
    <definedName name="mesingilas" localSheetId="4">'[18]harga lama'!#REF!</definedName>
    <definedName name="mesingilas" localSheetId="1">'[18]harga lama'!#REF!</definedName>
    <definedName name="mesingilas" localSheetId="7">'[18]harga lama'!#REF!</definedName>
    <definedName name="mesingilas" localSheetId="8">'[18]harga lama'!#REF!</definedName>
    <definedName name="mesingilas" localSheetId="16">'[18]harga lama'!#REF!</definedName>
    <definedName name="mesingilas" localSheetId="9">'[18]harga lama'!#REF!</definedName>
    <definedName name="mesingilas">'[18]harga lama'!#REF!</definedName>
    <definedName name="mesingilas3roda" localSheetId="1">#REF!</definedName>
    <definedName name="mesingilas3roda" localSheetId="7">#REF!</definedName>
    <definedName name="mesingilas3roda" localSheetId="8">#REF!</definedName>
    <definedName name="mesingilas3roda" localSheetId="16">#REF!</definedName>
    <definedName name="mesingilas3roda" localSheetId="0">#REF!</definedName>
    <definedName name="mesingilas3roda" localSheetId="9">#REF!</definedName>
    <definedName name="mesingilas3roda">#REF!</definedName>
    <definedName name="mesingilaskaret" localSheetId="7">#REF!</definedName>
    <definedName name="mesingilaskaret" localSheetId="8">#REF!</definedName>
    <definedName name="mesingilaskaret" localSheetId="16">#REF!</definedName>
    <definedName name="mesingilaskaret" localSheetId="0">#REF!</definedName>
    <definedName name="mesingilaskaret" localSheetId="9">#REF!</definedName>
    <definedName name="mesingilaskaret">#REF!</definedName>
    <definedName name="mesingilastendem" localSheetId="7">#REF!</definedName>
    <definedName name="mesingilastendem" localSheetId="8">#REF!</definedName>
    <definedName name="mesingilastendem" localSheetId="16">#REF!</definedName>
    <definedName name="mesingilastendem" localSheetId="0">#REF!</definedName>
    <definedName name="mesingilastendem" localSheetId="9">#REF!</definedName>
    <definedName name="mesingilastendem">#REF!</definedName>
    <definedName name="mesinlas" localSheetId="7">'[18]harga lama'!#REF!</definedName>
    <definedName name="mesinlas" localSheetId="8">'[18]harga lama'!#REF!</definedName>
    <definedName name="mesinlas" localSheetId="16">'[18]harga lama'!#REF!</definedName>
    <definedName name="mesinlas" localSheetId="9">'[18]harga lama'!#REF!</definedName>
    <definedName name="mesinlas">'[18]harga lama'!#REF!</definedName>
    <definedName name="MINOR">'[7]Kuantitas &amp; Harga'!$A$303:$H$306</definedName>
    <definedName name="minyak" localSheetId="1">#REF!</definedName>
    <definedName name="minyak" localSheetId="7">#REF!</definedName>
    <definedName name="minyak" localSheetId="8">#REF!</definedName>
    <definedName name="minyak" localSheetId="16">#REF!</definedName>
    <definedName name="minyak" localSheetId="0">#REF!</definedName>
    <definedName name="minyak" localSheetId="9">#REF!</definedName>
    <definedName name="minyak">#REF!</definedName>
    <definedName name="ml" localSheetId="1">'[31]DU&amp;B'!#REF!</definedName>
    <definedName name="ml" localSheetId="7">'[31]DU&amp;B'!#REF!</definedName>
    <definedName name="ml" localSheetId="8">'[31]DU&amp;B'!#REF!</definedName>
    <definedName name="ml" localSheetId="16">'[31]DU&amp;B'!#REF!</definedName>
    <definedName name="ml" localSheetId="9">'[31]DU&amp;B'!#REF!</definedName>
    <definedName name="ml">'[31]DU&amp;B'!#REF!</definedName>
    <definedName name="mlex.w" localSheetId="1">#REF!</definedName>
    <definedName name="mlex.w" localSheetId="7">#REF!</definedName>
    <definedName name="mlex.w" localSheetId="8">#REF!</definedName>
    <definedName name="mlex.w" localSheetId="16">#REF!</definedName>
    <definedName name="mlex.w" localSheetId="9">#REF!</definedName>
    <definedName name="mlex.w">#REF!</definedName>
    <definedName name="mlh" localSheetId="1">'[31]DU&amp;B'!#REF!</definedName>
    <definedName name="mlh" localSheetId="7">'[31]DU&amp;B'!#REF!</definedName>
    <definedName name="mlh" localSheetId="8">'[31]DU&amp;B'!#REF!</definedName>
    <definedName name="mlh" localSheetId="16">'[31]DU&amp;B'!#REF!</definedName>
    <definedName name="mlh" localSheetId="9">'[31]DU&amp;B'!#REF!</definedName>
    <definedName name="mlh">'[31]DU&amp;B'!#REF!</definedName>
    <definedName name="MMM17A" localSheetId="1">'[7]Basic Price'!#REF!</definedName>
    <definedName name="MMM17A" localSheetId="7">'[7]Basic Price'!#REF!</definedName>
    <definedName name="MMM17A" localSheetId="8">'[7]Basic Price'!#REF!</definedName>
    <definedName name="MMM17A" localSheetId="16">'[7]Basic Price'!#REF!</definedName>
    <definedName name="MMM17A" localSheetId="9">'[7]Basic Price'!#REF!</definedName>
    <definedName name="MMM17A">'[7]Basic Price'!#REF!</definedName>
    <definedName name="MMM35A" localSheetId="7">'[7]Basic Price'!#REF!</definedName>
    <definedName name="MMM35A" localSheetId="8">'[7]Basic Price'!#REF!</definedName>
    <definedName name="MMM35A" localSheetId="16">'[7]Basic Price'!#REF!</definedName>
    <definedName name="MMM35A" localSheetId="9">'[7]Basic Price'!#REF!</definedName>
    <definedName name="MMM35A">'[7]Basic Price'!#REF!</definedName>
    <definedName name="mobil" localSheetId="7">[31]Analisa!#REF!</definedName>
    <definedName name="mobil" localSheetId="8">[31]Analisa!#REF!</definedName>
    <definedName name="mobil" localSheetId="16">[31]Analisa!#REF!</definedName>
    <definedName name="mobil" localSheetId="9">[31]Analisa!#REF!</definedName>
    <definedName name="mobil">[31]Analisa!#REF!</definedName>
    <definedName name="MOBILISASI">'[7]Kuantitas &amp; Harga'!$A$17:$H$30</definedName>
    <definedName name="mol" localSheetId="1">#REF!</definedName>
    <definedName name="mol" localSheetId="7">#REF!</definedName>
    <definedName name="mol" localSheetId="8">#REF!</definedName>
    <definedName name="mol" localSheetId="16">#REF!</definedName>
    <definedName name="mol" localSheetId="9">#REF!</definedName>
    <definedName name="mol">#REF!</definedName>
    <definedName name="molen" localSheetId="7">#REF!</definedName>
    <definedName name="molen" localSheetId="8">#REF!</definedName>
    <definedName name="molen" localSheetId="16">#REF!</definedName>
    <definedName name="molen" localSheetId="0">#REF!</definedName>
    <definedName name="molen" localSheetId="9">#REF!</definedName>
    <definedName name="molen">#REF!</definedName>
    <definedName name="molenbeton" localSheetId="7">#REF!</definedName>
    <definedName name="molenbeton" localSheetId="8">#REF!</definedName>
    <definedName name="molenbeton" localSheetId="16">#REF!</definedName>
    <definedName name="molenbeton" localSheetId="0">#REF!</definedName>
    <definedName name="molenbeton" localSheetId="9">#REF!</definedName>
    <definedName name="molenbeton">#REF!</definedName>
    <definedName name="MOTORGRADER321" localSheetId="7">#REF!</definedName>
    <definedName name="MOTORGRADER321" localSheetId="8">#REF!</definedName>
    <definedName name="MOTORGRADER321" localSheetId="16">#REF!</definedName>
    <definedName name="MOTORGRADER321" localSheetId="9">#REF!</definedName>
    <definedName name="MOTORGRADER321">#REF!</definedName>
    <definedName name="MOTORGRADER33" localSheetId="7">#REF!</definedName>
    <definedName name="MOTORGRADER33" localSheetId="8">#REF!</definedName>
    <definedName name="MOTORGRADER33" localSheetId="16">#REF!</definedName>
    <definedName name="MOTORGRADER33" localSheetId="9">#REF!</definedName>
    <definedName name="MOTORGRADER33">#REF!</definedName>
    <definedName name="MOTORGRADER511" localSheetId="7">#REF!</definedName>
    <definedName name="MOTORGRADER511" localSheetId="8">#REF!</definedName>
    <definedName name="MOTORGRADER511" localSheetId="16">#REF!</definedName>
    <definedName name="MOTORGRADER511" localSheetId="9">#REF!</definedName>
    <definedName name="MOTORGRADER511">#REF!</definedName>
    <definedName name="MOTORGRADER512" localSheetId="7">#REF!</definedName>
    <definedName name="MOTORGRADER512" localSheetId="8">#REF!</definedName>
    <definedName name="MOTORGRADER512" localSheetId="16">#REF!</definedName>
    <definedName name="MOTORGRADER512" localSheetId="9">#REF!</definedName>
    <definedName name="MOTORGRADER512">#REF!</definedName>
    <definedName name="MOTORGRADER521" localSheetId="7">#REF!</definedName>
    <definedName name="MOTORGRADER521" localSheetId="8">#REF!</definedName>
    <definedName name="MOTORGRADER521" localSheetId="16">#REF!</definedName>
    <definedName name="MOTORGRADER521" localSheetId="9">#REF!</definedName>
    <definedName name="MOTORGRADER521">#REF!</definedName>
    <definedName name="mowi.w.shield" localSheetId="7">#REF!</definedName>
    <definedName name="mowi.w.shield" localSheetId="8">#REF!</definedName>
    <definedName name="mowi.w.shield" localSheetId="16">#REF!</definedName>
    <definedName name="mowi.w.shield" localSheetId="9">#REF!</definedName>
    <definedName name="mowi.w.shield">#REF!</definedName>
    <definedName name="mowi.ws" localSheetId="7">#REF!</definedName>
    <definedName name="mowi.ws" localSheetId="8">#REF!</definedName>
    <definedName name="mowi.ws" localSheetId="16">#REF!</definedName>
    <definedName name="mowi.ws" localSheetId="9">#REF!</definedName>
    <definedName name="mowi.ws">#REF!</definedName>
    <definedName name="MR.12" localSheetId="7">#REF!</definedName>
    <definedName name="MR.12" localSheetId="8">#REF!</definedName>
    <definedName name="MR.12" localSheetId="16">#REF!</definedName>
    <definedName name="MR.12" localSheetId="9">#REF!</definedName>
    <definedName name="MR.12">#REF!</definedName>
    <definedName name="mr.15" localSheetId="7">#REF!</definedName>
    <definedName name="mr.15" localSheetId="8">#REF!</definedName>
    <definedName name="mr.15" localSheetId="16">#REF!</definedName>
    <definedName name="mr.15" localSheetId="9">#REF!</definedName>
    <definedName name="mr.15">#REF!</definedName>
    <definedName name="mr.19" localSheetId="7">#REF!</definedName>
    <definedName name="mr.19" localSheetId="8">#REF!</definedName>
    <definedName name="mr.19" localSheetId="16">#REF!</definedName>
    <definedName name="mr.19" localSheetId="9">#REF!</definedName>
    <definedName name="mr.19">#REF!</definedName>
    <definedName name="mu" localSheetId="7">'[31]DU&amp;B'!#REF!</definedName>
    <definedName name="mu" localSheetId="8">'[31]DU&amp;B'!#REF!</definedName>
    <definedName name="mu" localSheetId="16">'[31]DU&amp;B'!#REF!</definedName>
    <definedName name="mu" localSheetId="9">'[31]DU&amp;B'!#REF!</definedName>
    <definedName name="mu">'[31]DU&amp;B'!#REF!</definedName>
    <definedName name="muka">'[1]Upah&amp;Bahan'!$C$42</definedName>
    <definedName name="multi.18" localSheetId="1">#REF!</definedName>
    <definedName name="multi.18" localSheetId="7">#REF!</definedName>
    <definedName name="multi.18" localSheetId="8">#REF!</definedName>
    <definedName name="multi.18" localSheetId="16">#REF!</definedName>
    <definedName name="multi.18" localSheetId="9">#REF!</definedName>
    <definedName name="multi.18">#REF!</definedName>
    <definedName name="multi.4" localSheetId="7">#REF!</definedName>
    <definedName name="multi.4" localSheetId="8">#REF!</definedName>
    <definedName name="multi.4" localSheetId="16">#REF!</definedName>
    <definedName name="multi.4" localSheetId="9">#REF!</definedName>
    <definedName name="multi.4">#REF!</definedName>
    <definedName name="multi.6" localSheetId="7">#REF!</definedName>
    <definedName name="multi.6" localSheetId="8">#REF!</definedName>
    <definedName name="multi.6" localSheetId="16">#REF!</definedName>
    <definedName name="multi.6" localSheetId="9">#REF!</definedName>
    <definedName name="multi.6">#REF!</definedName>
    <definedName name="multi.9" localSheetId="7">#REF!</definedName>
    <definedName name="multi.9" localSheetId="8">#REF!</definedName>
    <definedName name="multi.9" localSheetId="16">#REF!</definedName>
    <definedName name="multi.9" localSheetId="9">#REF!</definedName>
    <definedName name="multi.9">#REF!</definedName>
    <definedName name="multicolour" localSheetId="1">[33]Analisis!#REF!</definedName>
    <definedName name="multicolour" localSheetId="7">[34]Analisis!#REF!</definedName>
    <definedName name="multicolour" localSheetId="8">[34]Analisis!#REF!</definedName>
    <definedName name="multicolour" localSheetId="16">[34]Analisis!#REF!</definedName>
    <definedName name="multicolour" localSheetId="0">[34]Analisis!#REF!</definedName>
    <definedName name="multicolour" localSheetId="9">[34]Analisis!#REF!</definedName>
    <definedName name="multicolour">[34]Analisis!#REF!</definedName>
    <definedName name="N_1011" localSheetId="7">'[2]An. Harga'!#REF!</definedName>
    <definedName name="N_1011" localSheetId="8">'[2]An. Harga'!#REF!</definedName>
    <definedName name="N_1011" localSheetId="16">'[2]An. Harga'!#REF!</definedName>
    <definedName name="N_1011" localSheetId="9">'[2]An. Harga'!#REF!</definedName>
    <definedName name="N_1011">'[2]An. Harga'!#REF!</definedName>
    <definedName name="N_1012" localSheetId="7">'[2]An. Harga'!#REF!</definedName>
    <definedName name="N_1012" localSheetId="8">'[2]An. Harga'!#REF!</definedName>
    <definedName name="N_1012" localSheetId="16">'[2]An. Harga'!#REF!</definedName>
    <definedName name="N_1012" localSheetId="9">'[2]An. Harga'!#REF!</definedName>
    <definedName name="N_1012">'[2]An. Harga'!#REF!</definedName>
    <definedName name="N_1013" localSheetId="7">'[2]An. Harga'!#REF!</definedName>
    <definedName name="N_1013" localSheetId="8">'[2]An. Harga'!#REF!</definedName>
    <definedName name="N_1013" localSheetId="16">'[2]An. Harga'!#REF!</definedName>
    <definedName name="N_1013" localSheetId="9">'[2]An. Harga'!#REF!</definedName>
    <definedName name="N_1013">'[2]An. Harga'!#REF!</definedName>
    <definedName name="N_12">'[2]An. Harga'!$N$107</definedName>
    <definedName name="N_22" localSheetId="4">'[2]An. Harga'!#REF!</definedName>
    <definedName name="N_22" localSheetId="1">'[2]An. Harga'!#REF!</definedName>
    <definedName name="N_22" localSheetId="7">'[2]An. Harga'!#REF!</definedName>
    <definedName name="N_22" localSheetId="8">'[2]An. Harga'!#REF!</definedName>
    <definedName name="N_22" localSheetId="16">'[2]An. Harga'!#REF!</definedName>
    <definedName name="N_22" localSheetId="9">'[2]An. Harga'!#REF!</definedName>
    <definedName name="N_22">'[2]An. Harga'!#REF!</definedName>
    <definedName name="N_233" localSheetId="1">'[2]An. Harga'!#REF!</definedName>
    <definedName name="N_233" localSheetId="7">'[2]An. Harga'!#REF!</definedName>
    <definedName name="N_233" localSheetId="8">'[2]An. Harga'!#REF!</definedName>
    <definedName name="N_233" localSheetId="16">'[2]An. Harga'!#REF!</definedName>
    <definedName name="N_233" localSheetId="9">'[2]An. Harga'!#REF!</definedName>
    <definedName name="N_233">'[2]An. Harga'!#REF!</definedName>
    <definedName name="N_321">'[2]An. Harga'!$N$445</definedName>
    <definedName name="N_33" localSheetId="4">'[2]An. Harga'!#REF!</definedName>
    <definedName name="N_33" localSheetId="1">'[2]An. Harga'!#REF!</definedName>
    <definedName name="N_33" localSheetId="7">'[2]An. Harga'!#REF!</definedName>
    <definedName name="N_33" localSheetId="8">'[2]An. Harga'!#REF!</definedName>
    <definedName name="N_33" localSheetId="16">'[2]An. Harga'!#REF!</definedName>
    <definedName name="N_33" localSheetId="9">'[2]An. Harga'!#REF!</definedName>
    <definedName name="N_33">'[2]An. Harga'!#REF!</definedName>
    <definedName name="N_34" localSheetId="1">'[2]An. Harga'!#REF!</definedName>
    <definedName name="N_34" localSheetId="7">'[2]An. Harga'!#REF!</definedName>
    <definedName name="N_34" localSheetId="8">'[2]An. Harga'!#REF!</definedName>
    <definedName name="N_34" localSheetId="16">'[2]An. Harga'!#REF!</definedName>
    <definedName name="N_34" localSheetId="9">'[2]An. Harga'!#REF!</definedName>
    <definedName name="N_34">'[2]An. Harga'!#REF!</definedName>
    <definedName name="N_511" localSheetId="7">'[2]An. Harga'!#REF!</definedName>
    <definedName name="N_511" localSheetId="8">'[2]An. Harga'!#REF!</definedName>
    <definedName name="N_511" localSheetId="16">'[2]An. Harga'!#REF!</definedName>
    <definedName name="N_511" localSheetId="9">'[2]An. Harga'!#REF!</definedName>
    <definedName name="N_511">'[2]An. Harga'!#REF!</definedName>
    <definedName name="N_74" localSheetId="7">'[2]An. Harga'!#REF!</definedName>
    <definedName name="N_74" localSheetId="8">'[2]An. Harga'!#REF!</definedName>
    <definedName name="N_74" localSheetId="16">'[2]An. Harga'!#REF!</definedName>
    <definedName name="N_74" localSheetId="9">'[2]An. Harga'!#REF!</definedName>
    <definedName name="N_74">'[2]An. Harga'!#REF!</definedName>
    <definedName name="N_753" localSheetId="7">'[2]An. Harga'!#REF!</definedName>
    <definedName name="N_753" localSheetId="8">'[2]An. Harga'!#REF!</definedName>
    <definedName name="N_753" localSheetId="16">'[2]An. Harga'!#REF!</definedName>
    <definedName name="N_753" localSheetId="9">'[2]An. Harga'!#REF!</definedName>
    <definedName name="N_753">'[2]An. Harga'!#REF!</definedName>
    <definedName name="neng">'[1]Upah&amp;Bahan'!$C$47</definedName>
    <definedName name="NI" localSheetId="4">[8]BPS!#REF!</definedName>
    <definedName name="NI" localSheetId="1">[8]BPS!#REF!</definedName>
    <definedName name="NI" localSheetId="7">[8]BPS!#REF!</definedName>
    <definedName name="NI" localSheetId="8">[8]BPS!#REF!</definedName>
    <definedName name="NI" localSheetId="16">[8]BPS!#REF!</definedName>
    <definedName name="NI" localSheetId="0">[8]BPS!#REF!</definedName>
    <definedName name="NI" localSheetId="9">[8]BPS!#REF!</definedName>
    <definedName name="NI">[8]BPS!#REF!</definedName>
    <definedName name="nm" localSheetId="1">#REF!</definedName>
    <definedName name="nm" localSheetId="7">#REF!</definedName>
    <definedName name="nm" localSheetId="8">#REF!</definedName>
    <definedName name="nm" localSheetId="16">#REF!</definedName>
    <definedName name="nm" localSheetId="9">#REF!</definedName>
    <definedName name="nm">#REF!</definedName>
    <definedName name="Nok" localSheetId="7">#REF!</definedName>
    <definedName name="Nok" localSheetId="8">#REF!</definedName>
    <definedName name="Nok" localSheetId="16">#REF!</definedName>
    <definedName name="Nok" localSheetId="9">#REF!</definedName>
    <definedName name="Nok">#REF!</definedName>
    <definedName name="o" localSheetId="7">#REF!</definedName>
    <definedName name="o" localSheetId="8">#REF!</definedName>
    <definedName name="o" localSheetId="16">#REF!</definedName>
    <definedName name="o" localSheetId="9">#REF!</definedName>
    <definedName name="o">#REF!</definedName>
    <definedName name="oksigenu" localSheetId="7">'[31]DU&amp;B'!#REF!</definedName>
    <definedName name="oksigenu" localSheetId="8">'[31]DU&amp;B'!#REF!</definedName>
    <definedName name="oksigenu" localSheetId="16">'[31]DU&amp;B'!#REF!</definedName>
    <definedName name="oksigenu" localSheetId="9">'[31]DU&amp;B'!#REF!</definedName>
    <definedName name="oksigenu">'[31]DU&amp;B'!#REF!</definedName>
    <definedName name="olaksmhd" localSheetId="16">#REF!</definedName>
    <definedName name="olaksmhd" localSheetId="0">#REF!</definedName>
    <definedName name="olaksmhd">#REF!</definedName>
    <definedName name="Oxigen" localSheetId="7">'[18]harga lama'!#REF!</definedName>
    <definedName name="Oxigen" localSheetId="8">'[18]harga lama'!#REF!</definedName>
    <definedName name="Oxigen" localSheetId="16">'[18]harga lama'!#REF!</definedName>
    <definedName name="Oxigen" localSheetId="9">'[18]harga lama'!#REF!</definedName>
    <definedName name="Oxigen">'[18]harga lama'!#REF!</definedName>
    <definedName name="oxigenu" localSheetId="7">'[31]DU&amp;B'!#REF!</definedName>
    <definedName name="oxigenu" localSheetId="8">'[31]DU&amp;B'!#REF!</definedName>
    <definedName name="oxigenu" localSheetId="16">'[31]DU&amp;B'!#REF!</definedName>
    <definedName name="oxigenu" localSheetId="9">'[31]DU&amp;B'!#REF!</definedName>
    <definedName name="oxigenu">'[31]DU&amp;B'!#REF!</definedName>
    <definedName name="oxygen" localSheetId="7">'[18]harga lama'!#REF!</definedName>
    <definedName name="oxygen" localSheetId="8">'[18]harga lama'!#REF!</definedName>
    <definedName name="oxygen" localSheetId="16">'[18]harga lama'!#REF!</definedName>
    <definedName name="oxygen" localSheetId="9">'[18]harga lama'!#REF!</definedName>
    <definedName name="oxygen">'[18]harga lama'!#REF!</definedName>
    <definedName name="p" localSheetId="1">#REF!</definedName>
    <definedName name="p" localSheetId="7">#REF!</definedName>
    <definedName name="p" localSheetId="8">#REF!</definedName>
    <definedName name="p" localSheetId="16">#REF!</definedName>
    <definedName name="p" localSheetId="0">#REF!</definedName>
    <definedName name="p" localSheetId="9">#REF!</definedName>
    <definedName name="p">#REF!</definedName>
    <definedName name="p.bI" localSheetId="7">#REF!</definedName>
    <definedName name="p.bI" localSheetId="8">#REF!</definedName>
    <definedName name="p.bI" localSheetId="16">#REF!</definedName>
    <definedName name="p.bI" localSheetId="9">#REF!</definedName>
    <definedName name="p.bI">#REF!</definedName>
    <definedName name="p.kmp.smrd.3.20" localSheetId="7">#REF!</definedName>
    <definedName name="p.kmp.smrd.3.20" localSheetId="8">#REF!</definedName>
    <definedName name="p.kmp.smrd.3.20" localSheetId="16">#REF!</definedName>
    <definedName name="p.kmp.smrd.3.20" localSheetId="9">#REF!</definedName>
    <definedName name="p.kmp.smrd.3.20">#REF!</definedName>
    <definedName name="p.triplek" localSheetId="7">#REF!</definedName>
    <definedName name="p.triplek" localSheetId="8">#REF!</definedName>
    <definedName name="p.triplek" localSheetId="16">#REF!</definedName>
    <definedName name="p.triplek" localSheetId="9">#REF!</definedName>
    <definedName name="p.triplek">#REF!</definedName>
    <definedName name="pa" localSheetId="7">#REF!</definedName>
    <definedName name="pa" localSheetId="8">#REF!</definedName>
    <definedName name="pa" localSheetId="16">#REF!</definedName>
    <definedName name="pa" localSheetId="9">#REF!</definedName>
    <definedName name="pa">#REF!</definedName>
    <definedName name="paku" localSheetId="7">#REF!</definedName>
    <definedName name="paku" localSheetId="8">#REF!</definedName>
    <definedName name="paku" localSheetId="16">#REF!</definedName>
    <definedName name="paku" localSheetId="0">#REF!</definedName>
    <definedName name="paku" localSheetId="9">#REF!</definedName>
    <definedName name="paku">#REF!</definedName>
    <definedName name="paku5.7.10" localSheetId="7">#REF!</definedName>
    <definedName name="paku5.7.10" localSheetId="8">#REF!</definedName>
    <definedName name="paku5.7.10" localSheetId="16">#REF!</definedName>
    <definedName name="paku5.7.10" localSheetId="9">#REF!</definedName>
    <definedName name="paku5.7.10">#REF!</definedName>
    <definedName name="pakuasbes" localSheetId="1">[29]cover!#REF!</definedName>
    <definedName name="pakuasbes" localSheetId="7">[30]cover!#REF!</definedName>
    <definedName name="pakuasbes" localSheetId="8">[30]cover!#REF!</definedName>
    <definedName name="pakuasbes" localSheetId="16">[30]cover!#REF!</definedName>
    <definedName name="pakuasbes" localSheetId="0">[30]cover!#REF!</definedName>
    <definedName name="pakuasbes" localSheetId="9">[30]cover!#REF!</definedName>
    <definedName name="pakuasbes">[30]cover!#REF!</definedName>
    <definedName name="pakukm" localSheetId="7">'[31]DU&amp;B'!#REF!</definedName>
    <definedName name="pakukm" localSheetId="8">'[31]DU&amp;B'!#REF!</definedName>
    <definedName name="pakukm" localSheetId="16">'[31]DU&amp;B'!#REF!</definedName>
    <definedName name="pakukm" localSheetId="9">'[31]DU&amp;B'!#REF!</definedName>
    <definedName name="pakukm">'[31]DU&amp;B'!#REF!</definedName>
    <definedName name="pakul" localSheetId="7">'[31]DU&amp;B'!#REF!</definedName>
    <definedName name="pakul" localSheetId="8">'[31]DU&amp;B'!#REF!</definedName>
    <definedName name="pakul" localSheetId="16">'[31]DU&amp;B'!#REF!</definedName>
    <definedName name="pakul" localSheetId="9">'[31]DU&amp;B'!#REF!</definedName>
    <definedName name="pakul">'[31]DU&amp;B'!#REF!</definedName>
    <definedName name="pakulh" localSheetId="7">'[31]DU&amp;B'!#REF!</definedName>
    <definedName name="pakulh" localSheetId="8">'[31]DU&amp;B'!#REF!</definedName>
    <definedName name="pakulh" localSheetId="16">'[31]DU&amp;B'!#REF!</definedName>
    <definedName name="pakulh" localSheetId="9">'[31]DU&amp;B'!#REF!</definedName>
    <definedName name="pakulh">'[31]DU&amp;B'!#REF!</definedName>
    <definedName name="pakuonduline" localSheetId="1">[29]cover!#REF!</definedName>
    <definedName name="pakuonduline" localSheetId="7">[30]cover!#REF!</definedName>
    <definedName name="pakuonduline" localSheetId="8">[30]cover!#REF!</definedName>
    <definedName name="pakuonduline" localSheetId="16">[30]cover!#REF!</definedName>
    <definedName name="pakuonduline" localSheetId="0">[30]cover!#REF!</definedName>
    <definedName name="pakuonduline" localSheetId="9">[30]cover!#REF!</definedName>
    <definedName name="pakuonduline">[30]cover!#REF!</definedName>
    <definedName name="pakuu" localSheetId="7">'[31]DU&amp;B'!#REF!</definedName>
    <definedName name="pakuu" localSheetId="8">'[31]DU&amp;B'!#REF!</definedName>
    <definedName name="pakuu" localSheetId="16">'[31]DU&amp;B'!#REF!</definedName>
    <definedName name="pakuu" localSheetId="9">'[31]DU&amp;B'!#REF!</definedName>
    <definedName name="pakuu">'[31]DU&amp;B'!#REF!</definedName>
    <definedName name="pan" localSheetId="1">#REF!</definedName>
    <definedName name="pan" localSheetId="7">#REF!</definedName>
    <definedName name="pan" localSheetId="8">#REF!</definedName>
    <definedName name="pan" localSheetId="16">#REF!</definedName>
    <definedName name="pan" localSheetId="0">#REF!</definedName>
    <definedName name="pan" localSheetId="9">#REF!</definedName>
    <definedName name="pan">#REF!</definedName>
    <definedName name="papan.m.3.20" localSheetId="7">#REF!</definedName>
    <definedName name="papan.m.3.20" localSheetId="8">#REF!</definedName>
    <definedName name="papan.m.3.20" localSheetId="16">#REF!</definedName>
    <definedName name="papan.m.3.20" localSheetId="9">#REF!</definedName>
    <definedName name="papan.m.3.20">#REF!</definedName>
    <definedName name="Pas" localSheetId="7">#REF!</definedName>
    <definedName name="Pas" localSheetId="8">#REF!</definedName>
    <definedName name="Pas" localSheetId="16">#REF!</definedName>
    <definedName name="Pas" localSheetId="0">#REF!</definedName>
    <definedName name="Pas" localSheetId="9">#REF!</definedName>
    <definedName name="Pas">#REF!</definedName>
    <definedName name="pasanganbatu" localSheetId="1">'[49]DRUP (ASLI)'!$I$801</definedName>
    <definedName name="pasanganbatu">'[50]DRUP (ASLI)'!$I$801</definedName>
    <definedName name="pasir" localSheetId="1">#REF!</definedName>
    <definedName name="pasir" localSheetId="7">#REF!</definedName>
    <definedName name="pasir" localSheetId="8">#REF!</definedName>
    <definedName name="pasir" localSheetId="16">#REF!</definedName>
    <definedName name="pasir" localSheetId="0">#REF!</definedName>
    <definedName name="pasir" localSheetId="9">#REF!</definedName>
    <definedName name="pasir">#REF!</definedName>
    <definedName name="PASIR_PASANG" localSheetId="1">[32]Rab!#REF!</definedName>
    <definedName name="PASIR_PASANG" localSheetId="7">[32]Rab!#REF!</definedName>
    <definedName name="PASIR_PASANG" localSheetId="8">[32]Rab!#REF!</definedName>
    <definedName name="PASIR_PASANG" localSheetId="16">[32]Rab!#REF!</definedName>
    <definedName name="PASIR_PASANG" localSheetId="9">[32]Rab!#REF!</definedName>
    <definedName name="PASIR_PASANG">[32]Rab!#REF!</definedName>
    <definedName name="pasirayakkasar" localSheetId="1">#REF!</definedName>
    <definedName name="pasirayakkasar" localSheetId="7">#REF!</definedName>
    <definedName name="pasirayakkasar" localSheetId="8">#REF!</definedName>
    <definedName name="pasirayakkasar" localSheetId="16">#REF!</definedName>
    <definedName name="pasirayakkasar" localSheetId="0">#REF!</definedName>
    <definedName name="pasirayakkasar" localSheetId="9">#REF!</definedName>
    <definedName name="pasirayakkasar">#REF!</definedName>
    <definedName name="Pasirpasang">[35]UPAH!$D$34</definedName>
    <definedName name="PASIRURUG" localSheetId="1">#REF!</definedName>
    <definedName name="PASIRURUG" localSheetId="7">#REF!</definedName>
    <definedName name="PASIRURUG" localSheetId="8">#REF!</definedName>
    <definedName name="PASIRURUG" localSheetId="16">#REF!</definedName>
    <definedName name="PASIRURUG" localSheetId="9">#REF!</definedName>
    <definedName name="PASIRURUG">#REF!</definedName>
    <definedName name="pb" localSheetId="7">#REF!</definedName>
    <definedName name="pb" localSheetId="8">#REF!</definedName>
    <definedName name="pb" localSheetId="16">#REF!</definedName>
    <definedName name="pb" localSheetId="9">#REF!</definedName>
    <definedName name="pb">#REF!</definedName>
    <definedName name="pbat">'[37]DU&amp;B'!$F$8</definedName>
    <definedName name="pbek" localSheetId="4">'[45]DU&amp;B'!#REF!</definedName>
    <definedName name="pbek" localSheetId="1">'[45]DU&amp;B'!#REF!</definedName>
    <definedName name="pbek" localSheetId="7">'[45]DU&amp;B'!#REF!</definedName>
    <definedName name="pbek" localSheetId="8">'[45]DU&amp;B'!#REF!</definedName>
    <definedName name="pbek" localSheetId="16">'[45]DU&amp;B'!#REF!</definedName>
    <definedName name="pbek" localSheetId="9">'[45]DU&amp;B'!#REF!</definedName>
    <definedName name="pbek">'[45]DU&amp;B'!#REF!</definedName>
    <definedName name="pbet" localSheetId="1">#REF!</definedName>
    <definedName name="pbet" localSheetId="7">#REF!</definedName>
    <definedName name="pbet" localSheetId="8">#REF!</definedName>
    <definedName name="pbet" localSheetId="16">#REF!</definedName>
    <definedName name="pbet" localSheetId="9">#REF!</definedName>
    <definedName name="pbet">#REF!</definedName>
    <definedName name="pbp" localSheetId="7">#REF!</definedName>
    <definedName name="pbp" localSheetId="8">#REF!</definedName>
    <definedName name="pbp" localSheetId="16">#REF!</definedName>
    <definedName name="pbp" localSheetId="0">#REF!</definedName>
    <definedName name="pbp" localSheetId="9">#REF!</definedName>
    <definedName name="pbp">#REF!</definedName>
    <definedName name="pc" localSheetId="7">'[45]DU&amp;B'!#REF!</definedName>
    <definedName name="pc" localSheetId="8">'[45]DU&amp;B'!#REF!</definedName>
    <definedName name="pc" localSheetId="16">'[45]DU&amp;B'!#REF!</definedName>
    <definedName name="pc" localSheetId="9">'[45]DU&amp;B'!#REF!</definedName>
    <definedName name="pc">'[45]DU&amp;B'!#REF!</definedName>
    <definedName name="PE" localSheetId="1">[61]PE!$B$8:$J$144</definedName>
    <definedName name="PE">[62]PE!$B$8:$J$144</definedName>
    <definedName name="PEDESTRIAN818" localSheetId="1">#REF!</definedName>
    <definedName name="PEDESTRIAN818" localSheetId="7">#REF!</definedName>
    <definedName name="PEDESTRIAN818" localSheetId="8">#REF!</definedName>
    <definedName name="PEDESTRIAN818" localSheetId="16">#REF!</definedName>
    <definedName name="PEDESTRIAN818" localSheetId="9">#REF!</definedName>
    <definedName name="PEDESTRIAN818">#REF!</definedName>
    <definedName name="PEDESTRIANROLLER" localSheetId="1">'[11]An. Alat'!#REF!</definedName>
    <definedName name="PEDESTRIANROLLER" localSheetId="7">'[11]An. Alat'!#REF!</definedName>
    <definedName name="PEDESTRIANROLLER" localSheetId="8">'[11]An. Alat'!#REF!</definedName>
    <definedName name="PEDESTRIANROLLER" localSheetId="16">'[11]An. Alat'!#REF!</definedName>
    <definedName name="PEDESTRIANROLLER" localSheetId="9">'[11]An. Alat'!#REF!</definedName>
    <definedName name="PEDESTRIANROLLER">'[11]An. Alat'!#REF!</definedName>
    <definedName name="pegal">'[3]Upah&amp;Bahan'!$C$42</definedName>
    <definedName name="Pekerja" localSheetId="1">[43]rekap!$D$8</definedName>
    <definedName name="Pekerja">[44]rekap!$D$8</definedName>
    <definedName name="PEKERJA312" localSheetId="1">#REF!</definedName>
    <definedName name="PEKERJA312" localSheetId="7">#REF!</definedName>
    <definedName name="PEKERJA312" localSheetId="8">#REF!</definedName>
    <definedName name="PEKERJA312" localSheetId="16">#REF!</definedName>
    <definedName name="PEKERJA312" localSheetId="9">#REF!</definedName>
    <definedName name="PEKERJA312">#REF!</definedName>
    <definedName name="PEKERJA33" localSheetId="7">#REF!</definedName>
    <definedName name="PEKERJA33" localSheetId="8">#REF!</definedName>
    <definedName name="PEKERJA33" localSheetId="16">#REF!</definedName>
    <definedName name="PEKERJA33" localSheetId="9">#REF!</definedName>
    <definedName name="PEKERJA33">#REF!</definedName>
    <definedName name="PEKERJA511" localSheetId="7">#REF!</definedName>
    <definedName name="PEKERJA511" localSheetId="8">#REF!</definedName>
    <definedName name="PEKERJA511" localSheetId="16">#REF!</definedName>
    <definedName name="PEKERJA511" localSheetId="9">#REF!</definedName>
    <definedName name="PEKERJA511">#REF!</definedName>
    <definedName name="PEKERJA512" localSheetId="7">#REF!</definedName>
    <definedName name="PEKERJA512" localSheetId="8">#REF!</definedName>
    <definedName name="PEKERJA512" localSheetId="16">#REF!</definedName>
    <definedName name="PEKERJA512" localSheetId="9">#REF!</definedName>
    <definedName name="PEKERJA512">#REF!</definedName>
    <definedName name="PEKERJA521" localSheetId="7">#REF!</definedName>
    <definedName name="PEKERJA521" localSheetId="8">#REF!</definedName>
    <definedName name="PEKERJA521" localSheetId="16">#REF!</definedName>
    <definedName name="PEKERJA521" localSheetId="9">#REF!</definedName>
    <definedName name="PEKERJA521">#REF!</definedName>
    <definedName name="PEKERJA753" localSheetId="7">#REF!</definedName>
    <definedName name="PEKERJA753" localSheetId="8">#REF!</definedName>
    <definedName name="PEKERJA753" localSheetId="16">#REF!</definedName>
    <definedName name="PEKERJA753" localSheetId="9">#REF!</definedName>
    <definedName name="PEKERJA753">#REF!</definedName>
    <definedName name="PEKERJA818" localSheetId="7">#REF!</definedName>
    <definedName name="PEKERJA818" localSheetId="8">#REF!</definedName>
    <definedName name="PEKERJA818" localSheetId="16">#REF!</definedName>
    <definedName name="PEKERJA818" localSheetId="9">#REF!</definedName>
    <definedName name="PEKERJA818">#REF!</definedName>
    <definedName name="PEKERJA819" localSheetId="7">#REF!</definedName>
    <definedName name="PEKERJA819" localSheetId="8">#REF!</definedName>
    <definedName name="PEKERJA819" localSheetId="16">#REF!</definedName>
    <definedName name="PEKERJA819" localSheetId="9">#REF!</definedName>
    <definedName name="PEKERJA819">#REF!</definedName>
    <definedName name="pelumas" localSheetId="7">'[31]DU&amp;B'!#REF!</definedName>
    <definedName name="pelumas" localSheetId="8">'[31]DU&amp;B'!#REF!</definedName>
    <definedName name="pelumas" localSheetId="16">'[31]DU&amp;B'!#REF!</definedName>
    <definedName name="pelumas" localSheetId="9">'[31]DU&amp;B'!#REF!</definedName>
    <definedName name="pelumas">'[31]DU&amp;B'!#REF!</definedName>
    <definedName name="Pemancangan">[12]NP!$L$183:$V$243</definedName>
    <definedName name="pembersihan" localSheetId="4">[34]Analisis!#REF!</definedName>
    <definedName name="pembersihan" localSheetId="1">[33]Analisis!#REF!</definedName>
    <definedName name="pembersihan" localSheetId="7">[34]Analisis!#REF!</definedName>
    <definedName name="pembersihan" localSheetId="8">[34]Analisis!#REF!</definedName>
    <definedName name="pembersihan" localSheetId="16">[34]Analisis!#REF!</definedName>
    <definedName name="pembersihan" localSheetId="0">[34]Analisis!#REF!</definedName>
    <definedName name="pembersihan" localSheetId="9">[34]Analisis!#REF!</definedName>
    <definedName name="pembersihan">[34]Analisis!#REF!</definedName>
    <definedName name="Pembongkaran">[63]NP!$L$841:$V$901</definedName>
    <definedName name="Pengesahan." localSheetId="1">#REF!</definedName>
    <definedName name="Pengesahan." localSheetId="7">#REF!</definedName>
    <definedName name="Pengesahan." localSheetId="8">#REF!</definedName>
    <definedName name="Pengesahan." localSheetId="16">#REF!</definedName>
    <definedName name="Pengesahan." localSheetId="0">#REF!</definedName>
    <definedName name="Pengesahan." localSheetId="9">#REF!</definedName>
    <definedName name="Pengesahan.">#REF!</definedName>
    <definedName name="penghampar" localSheetId="7">#REF!</definedName>
    <definedName name="penghampar" localSheetId="8">#REF!</definedName>
    <definedName name="penghampar" localSheetId="16">#REF!</definedName>
    <definedName name="penghampar" localSheetId="0">#REF!</definedName>
    <definedName name="penghampar" localSheetId="9">#REF!</definedName>
    <definedName name="penghampar">#REF!</definedName>
    <definedName name="penyaring" localSheetId="7">#REF!</definedName>
    <definedName name="penyaring" localSheetId="8">#REF!</definedName>
    <definedName name="penyaring" localSheetId="16">#REF!</definedName>
    <definedName name="penyaring" localSheetId="0">#REF!</definedName>
    <definedName name="penyaring" localSheetId="9">#REF!</definedName>
    <definedName name="penyaring">#REF!</definedName>
    <definedName name="penyelamu" localSheetId="7">'[31]DU&amp;B'!#REF!</definedName>
    <definedName name="penyelamu" localSheetId="8">'[31]DU&amp;B'!#REF!</definedName>
    <definedName name="penyelamu" localSheetId="16">'[31]DU&amp;B'!#REF!</definedName>
    <definedName name="penyelamu" localSheetId="9">'[31]DU&amp;B'!#REF!</definedName>
    <definedName name="penyelamu">'[31]DU&amp;B'!#REF!</definedName>
    <definedName name="penyemprot1000" localSheetId="1">#REF!</definedName>
    <definedName name="penyemprot1000" localSheetId="7">#REF!</definedName>
    <definedName name="penyemprot1000" localSheetId="8">#REF!</definedName>
    <definedName name="penyemprot1000" localSheetId="16">#REF!</definedName>
    <definedName name="penyemprot1000" localSheetId="0">#REF!</definedName>
    <definedName name="penyemprot1000" localSheetId="9">#REF!</definedName>
    <definedName name="penyemprot1000">#REF!</definedName>
    <definedName name="perancah" localSheetId="7">#REF!</definedName>
    <definedName name="perancah" localSheetId="8">#REF!</definedName>
    <definedName name="perancah" localSheetId="16">#REF!</definedName>
    <definedName name="perancah" localSheetId="0">#REF!</definedName>
    <definedName name="perancah" localSheetId="9">#REF!</definedName>
    <definedName name="perancah">#REF!</definedName>
    <definedName name="perancahlaut" localSheetId="7">#REF!</definedName>
    <definedName name="perancahlaut" localSheetId="8">#REF!</definedName>
    <definedName name="perancahlaut" localSheetId="16">#REF!</definedName>
    <definedName name="perancahlaut" localSheetId="9">#REF!</definedName>
    <definedName name="perancahlaut">#REF!</definedName>
    <definedName name="pgal">'[37]DU&amp;B'!$F$9</definedName>
    <definedName name="pickup" localSheetId="4">'[18]harga lama'!#REF!</definedName>
    <definedName name="pickup" localSheetId="1">'[18]harga lama'!#REF!</definedName>
    <definedName name="pickup" localSheetId="7">'[18]harga lama'!#REF!</definedName>
    <definedName name="pickup" localSheetId="8">'[18]harga lama'!#REF!</definedName>
    <definedName name="pickup" localSheetId="16">'[18]harga lama'!#REF!</definedName>
    <definedName name="pickup" localSheetId="9">'[18]harga lama'!#REF!</definedName>
    <definedName name="pickup">'[18]harga lama'!#REF!</definedName>
    <definedName name="pintupanel" localSheetId="1">[33]Analisis!#REF!</definedName>
    <definedName name="pintupanel" localSheetId="7">[64]Analisis!#REF!</definedName>
    <definedName name="pintupanel" localSheetId="8">[64]Analisis!#REF!</definedName>
    <definedName name="pintupanel" localSheetId="16">[64]Analisis!#REF!</definedName>
    <definedName name="pintupanel" localSheetId="0">[34]Analisis!#REF!</definedName>
    <definedName name="pintupanel" localSheetId="9">[64]Analisis!#REF!</definedName>
    <definedName name="pintupanel">[64]Analisis!#REF!</definedName>
    <definedName name="pipa" localSheetId="1">#REF!</definedName>
    <definedName name="pipa" localSheetId="7">#REF!</definedName>
    <definedName name="pipa" localSheetId="8">#REF!</definedName>
    <definedName name="pipa" localSheetId="16">#REF!</definedName>
    <definedName name="pipa" localSheetId="0">#REF!</definedName>
    <definedName name="pipa" localSheetId="9">#REF!</definedName>
    <definedName name="pipa">#REF!</definedName>
    <definedName name="pipabaja" localSheetId="1">'[18]harga lama'!#REF!</definedName>
    <definedName name="pipabaja" localSheetId="7">'[18]harga lama'!#REF!</definedName>
    <definedName name="pipabaja" localSheetId="8">'[18]harga lama'!#REF!</definedName>
    <definedName name="pipabaja" localSheetId="16">'[18]harga lama'!#REF!</definedName>
    <definedName name="pipabaja" localSheetId="9">'[18]harga lama'!#REF!</definedName>
    <definedName name="pipabaja">'[18]harga lama'!#REF!</definedName>
    <definedName name="pipagorong" localSheetId="1">'[49]DRUP (ASLI)'!$I$655</definedName>
    <definedName name="pipagorong">'[50]DRUP (ASLI)'!$I$655</definedName>
    <definedName name="pkst" localSheetId="1">#REF!</definedName>
    <definedName name="pkst" localSheetId="7">#REF!</definedName>
    <definedName name="pkst" localSheetId="8">#REF!</definedName>
    <definedName name="pkst" localSheetId="16">#REF!</definedName>
    <definedName name="pkst" localSheetId="0">#REF!</definedName>
    <definedName name="pkst" localSheetId="9">#REF!</definedName>
    <definedName name="pkst">#REF!</definedName>
    <definedName name="pl" localSheetId="1">'[31]DU&amp;B'!#REF!</definedName>
    <definedName name="pl" localSheetId="7">'[31]DU&amp;B'!#REF!</definedName>
    <definedName name="pl" localSheetId="8">'[31]DU&amp;B'!#REF!</definedName>
    <definedName name="pl" localSheetId="16">'[31]DU&amp;B'!#REF!</definedName>
    <definedName name="pl" localSheetId="9">'[31]DU&amp;B'!#REF!</definedName>
    <definedName name="pl">'[31]DU&amp;B'!#REF!</definedName>
    <definedName name="plafondplywood" localSheetId="1">[33]Analisis!#REF!</definedName>
    <definedName name="plafondplywood" localSheetId="7">[34]Analisis!#REF!</definedName>
    <definedName name="plafondplywood" localSheetId="8">[34]Analisis!#REF!</definedName>
    <definedName name="plafondplywood" localSheetId="16">[34]Analisis!#REF!</definedName>
    <definedName name="plafondplywood" localSheetId="0">[34]Analisis!#REF!</definedName>
    <definedName name="plafondplywood" localSheetId="9">[34]Analisis!#REF!</definedName>
    <definedName name="plafondplywood">[34]Analisis!#REF!</definedName>
    <definedName name="plafondreider" localSheetId="1">[33]Analisis!#REF!</definedName>
    <definedName name="plafondreider" localSheetId="7">[34]Analisis!#REF!</definedName>
    <definedName name="plafondreider" localSheetId="8">[34]Analisis!#REF!</definedName>
    <definedName name="plafondreider" localSheetId="16">[34]Analisis!#REF!</definedName>
    <definedName name="plafondreider" localSheetId="0">[34]Analisis!#REF!</definedName>
    <definedName name="plafondreider" localSheetId="9">[34]Analisis!#REF!</definedName>
    <definedName name="plafondreider">[34]Analisis!#REF!</definedName>
    <definedName name="plamur" localSheetId="1">#REF!</definedName>
    <definedName name="plamur" localSheetId="7">#REF!</definedName>
    <definedName name="plamur" localSheetId="8">#REF!</definedName>
    <definedName name="plamur" localSheetId="16">#REF!</definedName>
    <definedName name="plamur" localSheetId="9">#REF!</definedName>
    <definedName name="plamur">#REF!</definedName>
    <definedName name="plamur.matex" localSheetId="7">#REF!</definedName>
    <definedName name="plamur.matex" localSheetId="8">#REF!</definedName>
    <definedName name="plamur.matex" localSheetId="16">#REF!</definedName>
    <definedName name="plamur.matex" localSheetId="9">#REF!</definedName>
    <definedName name="plamur.matex">#REF!</definedName>
    <definedName name="plastik" localSheetId="7">#REF!</definedName>
    <definedName name="plastik" localSheetId="8">#REF!</definedName>
    <definedName name="plastik" localSheetId="16">#REF!</definedName>
    <definedName name="plastik" localSheetId="9">#REF!</definedName>
    <definedName name="plastik">#REF!</definedName>
    <definedName name="plat" localSheetId="1">[33]Analisis!#REF!</definedName>
    <definedName name="plat" localSheetId="7">[34]Analisis!#REF!</definedName>
    <definedName name="plat" localSheetId="8">[34]Analisis!#REF!</definedName>
    <definedName name="plat" localSheetId="16">[34]Analisis!#REF!</definedName>
    <definedName name="plat" localSheetId="0">[34]Analisis!#REF!</definedName>
    <definedName name="plat" localSheetId="9">[34]Analisis!#REF!</definedName>
    <definedName name="plat">[34]Analisis!#REF!</definedName>
    <definedName name="platbaja" localSheetId="7">'[18]harga lama'!#REF!</definedName>
    <definedName name="platbaja" localSheetId="8">'[18]harga lama'!#REF!</definedName>
    <definedName name="platbaja" localSheetId="16">'[18]harga lama'!#REF!</definedName>
    <definedName name="platbaja" localSheetId="9">'[18]harga lama'!#REF!</definedName>
    <definedName name="platbaja">'[18]harga lama'!#REF!</definedName>
    <definedName name="Platlantai" localSheetId="7">[23]ANALISA!#REF!</definedName>
    <definedName name="Platlantai" localSheetId="8">[23]ANALISA!#REF!</definedName>
    <definedName name="Platlantai" localSheetId="16">[23]ANALISA!#REF!</definedName>
    <definedName name="Platlantai" localSheetId="9">[23]ANALISA!#REF!</definedName>
    <definedName name="Platlantai">[23]ANALISA!#REF!</definedName>
    <definedName name="Platlantai7" localSheetId="7">[23]ANALISA!#REF!</definedName>
    <definedName name="Platlantai7" localSheetId="8">[23]ANALISA!#REF!</definedName>
    <definedName name="Platlantai7" localSheetId="16">[23]ANALISA!#REF!</definedName>
    <definedName name="Platlantai7" localSheetId="9">[23]ANALISA!#REF!</definedName>
    <definedName name="Platlantai7">[23]ANALISA!#REF!</definedName>
    <definedName name="Plattangga" localSheetId="7">[23]ANALISA!#REF!</definedName>
    <definedName name="Plattangga" localSheetId="8">[23]ANALISA!#REF!</definedName>
    <definedName name="Plattangga" localSheetId="16">[23]ANALISA!#REF!</definedName>
    <definedName name="Plattangga" localSheetId="9">[23]ANALISA!#REF!</definedName>
    <definedName name="Plattangga">[23]ANALISA!#REF!</definedName>
    <definedName name="plester" localSheetId="1">#REF!</definedName>
    <definedName name="plester" localSheetId="7">#REF!</definedName>
    <definedName name="plester" localSheetId="8">#REF!</definedName>
    <definedName name="plester" localSheetId="16">#REF!</definedName>
    <definedName name="plester" localSheetId="0">#REF!</definedName>
    <definedName name="plester" localSheetId="9">#REF!</definedName>
    <definedName name="plester">#REF!</definedName>
    <definedName name="plester12" localSheetId="7">#REF!</definedName>
    <definedName name="plester12" localSheetId="8">#REF!</definedName>
    <definedName name="plester12" localSheetId="16">#REF!</definedName>
    <definedName name="plester12" localSheetId="9">#REF!</definedName>
    <definedName name="plester12">#REF!</definedName>
    <definedName name="plester14" localSheetId="7">#REF!</definedName>
    <definedName name="plester14" localSheetId="8">#REF!</definedName>
    <definedName name="plester14" localSheetId="16">#REF!</definedName>
    <definedName name="plester14" localSheetId="9">#REF!</definedName>
    <definedName name="plester14">#REF!</definedName>
    <definedName name="plh" localSheetId="7">'[31]DU&amp;B'!#REF!</definedName>
    <definedName name="plh" localSheetId="8">'[31]DU&amp;B'!#REF!</definedName>
    <definedName name="plh" localSheetId="16">'[31]DU&amp;B'!#REF!</definedName>
    <definedName name="plh" localSheetId="9">'[31]DU&amp;B'!#REF!</definedName>
    <definedName name="plh">'[31]DU&amp;B'!#REF!</definedName>
    <definedName name="polipropylene" localSheetId="7">'[18]harga lama'!#REF!</definedName>
    <definedName name="polipropylene" localSheetId="8">'[18]harga lama'!#REF!</definedName>
    <definedName name="polipropylene" localSheetId="16">'[18]harga lama'!#REF!</definedName>
    <definedName name="polipropylene" localSheetId="9">'[18]harga lama'!#REF!</definedName>
    <definedName name="polipropylene">'[18]harga lama'!#REF!</definedName>
    <definedName name="pompa" localSheetId="1">#REF!</definedName>
    <definedName name="pompa" localSheetId="7">#REF!</definedName>
    <definedName name="pompa" localSheetId="8">#REF!</definedName>
    <definedName name="pompa" localSheetId="16">#REF!</definedName>
    <definedName name="pompa" localSheetId="0">#REF!</definedName>
    <definedName name="pompa" localSheetId="9">#REF!</definedName>
    <definedName name="pompa">#REF!</definedName>
    <definedName name="Pondasi1" localSheetId="1">[23]ANALISA!#REF!</definedName>
    <definedName name="Pondasi1" localSheetId="7">[23]ANALISA!#REF!</definedName>
    <definedName name="Pondasi1" localSheetId="8">[23]ANALISA!#REF!</definedName>
    <definedName name="Pondasi1" localSheetId="16">[23]ANALISA!#REF!</definedName>
    <definedName name="Pondasi1" localSheetId="9">[23]ANALISA!#REF!</definedName>
    <definedName name="Pondasi1">[23]ANALISA!#REF!</definedName>
    <definedName name="Pondasi2" localSheetId="7">[23]ANALISA!#REF!</definedName>
    <definedName name="Pondasi2" localSheetId="8">[23]ANALISA!#REF!</definedName>
    <definedName name="Pondasi2" localSheetId="16">[23]ANALISA!#REF!</definedName>
    <definedName name="Pondasi2" localSheetId="9">[23]ANALISA!#REF!</definedName>
    <definedName name="Pondasi2">[23]ANALISA!#REF!</definedName>
    <definedName name="pondasibatu" localSheetId="1">#REF!</definedName>
    <definedName name="pondasibatu" localSheetId="7">#REF!</definedName>
    <definedName name="pondasibatu" localSheetId="8">#REF!</definedName>
    <definedName name="pondasibatu" localSheetId="16">#REF!</definedName>
    <definedName name="pondasibatu" localSheetId="9">#REF!</definedName>
    <definedName name="pondasibatu">#REF!</definedName>
    <definedName name="Ponton" localSheetId="1">[43]rekap!$D$79</definedName>
    <definedName name="Ponton">[44]rekap!$D$79</definedName>
    <definedName name="poooo" localSheetId="4">[60]ANALISA!#REF!</definedName>
    <definedName name="poooo" localSheetId="1">[60]ANALISA!#REF!</definedName>
    <definedName name="poooo" localSheetId="7">[60]ANALISA!#REF!</definedName>
    <definedName name="poooo" localSheetId="8">[60]ANALISA!#REF!</definedName>
    <definedName name="poooo" localSheetId="16">[60]ANALISA!#REF!</definedName>
    <definedName name="poooo" localSheetId="9">[60]ANALISA!#REF!</definedName>
    <definedName name="poooo">[60]ANALISA!#REF!</definedName>
    <definedName name="pp" localSheetId="1">#REF!</definedName>
    <definedName name="pp" localSheetId="7">#REF!</definedName>
    <definedName name="pp" localSheetId="8">#REF!</definedName>
    <definedName name="pp" localSheetId="16">#REF!</definedName>
    <definedName name="pp" localSheetId="9">#REF!</definedName>
    <definedName name="pp">#REF!</definedName>
    <definedName name="ppas" localSheetId="7">#REF!</definedName>
    <definedName name="ppas" localSheetId="8">#REF!</definedName>
    <definedName name="ppas" localSheetId="16">#REF!</definedName>
    <definedName name="ppas" localSheetId="9">#REF!</definedName>
    <definedName name="ppas">#REF!</definedName>
    <definedName name="ppn.m.3.20.serut" localSheetId="7">#REF!</definedName>
    <definedName name="ppn.m.3.20.serut" localSheetId="8">#REF!</definedName>
    <definedName name="ppn.m.3.20.serut" localSheetId="16">#REF!</definedName>
    <definedName name="ppn.m.3.20.serut" localSheetId="9">#REF!</definedName>
    <definedName name="ppn.m.3.20.serut">#REF!</definedName>
    <definedName name="ppn2.30" localSheetId="7">#REF!</definedName>
    <definedName name="ppn2.30" localSheetId="8">#REF!</definedName>
    <definedName name="ppn2.30" localSheetId="16">#REF!</definedName>
    <definedName name="ppn2.30" localSheetId="9">#REF!</definedName>
    <definedName name="ppn2.30">#REF!</definedName>
    <definedName name="ppn3.30" localSheetId="7">#REF!</definedName>
    <definedName name="ppn3.30" localSheetId="8">#REF!</definedName>
    <definedName name="ppn3.30" localSheetId="16">#REF!</definedName>
    <definedName name="ppn3.30" localSheetId="9">#REF!</definedName>
    <definedName name="ppn3.30">#REF!</definedName>
    <definedName name="praktis" localSheetId="1">[33]Analisis!#REF!</definedName>
    <definedName name="praktis" localSheetId="7">[34]Analisis!#REF!</definedName>
    <definedName name="praktis" localSheetId="8">[34]Analisis!#REF!</definedName>
    <definedName name="praktis" localSheetId="16">[34]Analisis!#REF!</definedName>
    <definedName name="praktis" localSheetId="0">[34]Analisis!#REF!</definedName>
    <definedName name="praktis" localSheetId="9">[34]Analisis!#REF!</definedName>
    <definedName name="praktis">[34]Analisis!#REF!</definedName>
    <definedName name="PRIN_BILL" localSheetId="1">#REF!</definedName>
    <definedName name="PRIN_BILL" localSheetId="7">#REF!</definedName>
    <definedName name="PRIN_BILL" localSheetId="8">#REF!</definedName>
    <definedName name="PRIN_BILL" localSheetId="16">#REF!</definedName>
    <definedName name="PRIN_BILL" localSheetId="9">#REF!</definedName>
    <definedName name="PRIN_BILL">#REF!</definedName>
    <definedName name="PRIN_REKAPBILL">'[2]Rekap Bill'!$C$1:$L$46</definedName>
    <definedName name="_xlnm.Print_Area" localSheetId="12">'ANALISA UTAMA'!$B$2:$I$1877</definedName>
    <definedName name="_xlnm.Print_Area" localSheetId="14">'ANL HITUNG'!$B$1:$I$119</definedName>
    <definedName name="_xlnm.Print_Area" localSheetId="4">B!$B$2:$S$61</definedName>
    <definedName name="_xlnm.Print_Area" localSheetId="5">'C'!$B$1:$S$71</definedName>
    <definedName name="_xlnm.Print_Area" localSheetId="1">'COVER '!$B$2:$F$35</definedName>
    <definedName name="_xlnm.Print_Area" localSheetId="6">D!$B$2:$S$136</definedName>
    <definedName name="_xlnm.Print_Area" localSheetId="7">E!$B$2:$S$159</definedName>
    <definedName name="_xlnm.Print_Area" localSheetId="8">F!$B$2:$S$194</definedName>
    <definedName name="_xlnm.Print_Area" localSheetId="16">'HPS - TKDN'!$B$2:$Q$624</definedName>
    <definedName name="_xlnm.Print_Area" localSheetId="0">'K3 (2)'!$B$1:$K$65</definedName>
    <definedName name="_xlnm.Print_Area" localSheetId="9">M!$B$2:$S$201</definedName>
    <definedName name="_xlnm.Print_Area" localSheetId="3">RAB!$B$2:$M$606</definedName>
    <definedName name="_xlnm.Print_Area" localSheetId="2">REKAP!$C$2:$H$56</definedName>
    <definedName name="_xlnm.Print_Area" localSheetId="11">RKPANL!$B$3:$D$138</definedName>
    <definedName name="_xlnm.Print_Area" localSheetId="13">'UPAH-BAHAN'!$B$3:$F$172</definedName>
    <definedName name="_xlnm.Print_Area">#REF!</definedName>
    <definedName name="PRINT_AREA_MI" localSheetId="1">#REF!</definedName>
    <definedName name="PRINT_AREA_MI" localSheetId="7">#REF!</definedName>
    <definedName name="PRINT_AREA_MI" localSheetId="8">#REF!</definedName>
    <definedName name="PRINT_AREA_MI" localSheetId="16">#REF!</definedName>
    <definedName name="PRINT_AREA_MI" localSheetId="9">#REF!</definedName>
    <definedName name="PRINT_AREA_MI">#REF!</definedName>
    <definedName name="_xlnm.Print_Titles" localSheetId="4">B!$12:$14</definedName>
    <definedName name="_xlnm.Print_Titles" localSheetId="6">D!$12:$14</definedName>
    <definedName name="_xlnm.Print_Titles" localSheetId="7">E!$12:$14</definedName>
    <definedName name="_xlnm.Print_Titles" localSheetId="8">F!$12:$14</definedName>
    <definedName name="_xlnm.Print_Titles" localSheetId="16">'HPS - TKDN'!$13:$15</definedName>
    <definedName name="_xlnm.Print_Titles" localSheetId="0">'K3 (2)'!$3:$4</definedName>
    <definedName name="_xlnm.Print_Titles" localSheetId="9">M!$12:$14</definedName>
    <definedName name="_xlnm.Print_Titles" localSheetId="3">RAB!$11:$13</definedName>
    <definedName name="_xlnm.Print_Titles" localSheetId="13">'UPAH-BAHAN'!$5:$5</definedName>
    <definedName name="_xlnm.Print_Titles">#REF!</definedName>
    <definedName name="PRINT_TITLES_MI" localSheetId="1">#REF!</definedName>
    <definedName name="PRINT_TITLES_MI" localSheetId="7">#REF!</definedName>
    <definedName name="PRINT_TITLES_MI" localSheetId="8">#REF!</definedName>
    <definedName name="PRINT_TITLES_MI" localSheetId="16">#REF!</definedName>
    <definedName name="PRINT_TITLES_MI" localSheetId="9">#REF!</definedName>
    <definedName name="PRINT_TITLES_MI">#REF!</definedName>
    <definedName name="PSAPB" localSheetId="7">#REF!</definedName>
    <definedName name="PSAPB" localSheetId="8">#REF!</definedName>
    <definedName name="PSAPB" localSheetId="16">#REF!</definedName>
    <definedName name="PSAPB" localSheetId="9">#REF!</definedName>
    <definedName name="PSAPB">#REF!</definedName>
    <definedName name="psr" localSheetId="7">'[45]DU&amp;B'!#REF!</definedName>
    <definedName name="psr" localSheetId="8">'[45]DU&amp;B'!#REF!</definedName>
    <definedName name="psr" localSheetId="16">'[45]DU&amp;B'!#REF!</definedName>
    <definedName name="psr" localSheetId="9">'[45]DU&amp;B'!#REF!</definedName>
    <definedName name="psr">'[45]DU&amp;B'!#REF!</definedName>
    <definedName name="Psr.psg" localSheetId="1">#REF!</definedName>
    <definedName name="Psr.psg" localSheetId="7">#REF!</definedName>
    <definedName name="Psr.psg" localSheetId="8">#REF!</definedName>
    <definedName name="Psr.psg" localSheetId="16">#REF!</definedName>
    <definedName name="Psr.psg" localSheetId="9">#REF!</definedName>
    <definedName name="Psr.psg">#REF!</definedName>
    <definedName name="psr.trs" localSheetId="7">#REF!</definedName>
    <definedName name="psr.trs" localSheetId="8">#REF!</definedName>
    <definedName name="psr.trs" localSheetId="16">#REF!</definedName>
    <definedName name="psr.trs" localSheetId="9">#REF!</definedName>
    <definedName name="psr.trs">#REF!</definedName>
    <definedName name="pu" localSheetId="7">'[31]DU&amp;B'!#REF!</definedName>
    <definedName name="pu" localSheetId="8">'[31]DU&amp;B'!#REF!</definedName>
    <definedName name="pu" localSheetId="16">'[31]DU&amp;B'!#REF!</definedName>
    <definedName name="pu" localSheetId="9">'[31]DU&amp;B'!#REF!</definedName>
    <definedName name="pu">'[31]DU&amp;B'!#REF!</definedName>
    <definedName name="pulaq">'[3]Upah&amp;Bahan'!$C$18</definedName>
    <definedName name="PUSAT" localSheetId="4">'[11]An. Alat'!#REF!</definedName>
    <definedName name="PUSAT" localSheetId="1">'[11]An. Alat'!#REF!</definedName>
    <definedName name="PUSAT" localSheetId="7">'[11]An. Alat'!#REF!</definedName>
    <definedName name="PUSAT" localSheetId="8">'[11]An. Alat'!#REF!</definedName>
    <definedName name="PUSAT" localSheetId="16">'[11]An. Alat'!#REF!</definedName>
    <definedName name="PUSAT" localSheetId="9">'[11]An. Alat'!#REF!</definedName>
    <definedName name="PUSAT">'[11]An. Alat'!#REF!</definedName>
    <definedName name="pvc.0.5.mas.d" localSheetId="1">#REF!</definedName>
    <definedName name="pvc.0.5.mas.d" localSheetId="7">#REF!</definedName>
    <definedName name="pvc.0.5.mas.d" localSheetId="8">#REF!</definedName>
    <definedName name="pvc.0.5.mas.d" localSheetId="16">#REF!</definedName>
    <definedName name="pvc.0.5.mas.d" localSheetId="9">#REF!</definedName>
    <definedName name="pvc.0.5.mas.d">#REF!</definedName>
    <definedName name="pvc.0.7.5.Mas.d" localSheetId="7">#REF!</definedName>
    <definedName name="pvc.0.7.5.Mas.d" localSheetId="8">#REF!</definedName>
    <definedName name="pvc.0.7.5.Mas.d" localSheetId="16">#REF!</definedName>
    <definedName name="pvc.0.7.5.Mas.d" localSheetId="9">#REF!</definedName>
    <definedName name="pvc.0.7.5.Mas.d">#REF!</definedName>
    <definedName name="pvc.1.M.abu" localSheetId="7">#REF!</definedName>
    <definedName name="pvc.1.M.abu" localSheetId="8">#REF!</definedName>
    <definedName name="pvc.1.M.abu" localSheetId="16">#REF!</definedName>
    <definedName name="pvc.1.M.abu" localSheetId="9">#REF!</definedName>
    <definedName name="pvc.1.M.abu">#REF!</definedName>
    <definedName name="pvc.2.5.Mas.d" localSheetId="7">#REF!</definedName>
    <definedName name="pvc.2.5.Mas.d" localSheetId="8">#REF!</definedName>
    <definedName name="pvc.2.5.Mas.d" localSheetId="16">#REF!</definedName>
    <definedName name="pvc.2.5.Mas.d" localSheetId="9">#REF!</definedName>
    <definedName name="pvc.2.5.Mas.d">#REF!</definedName>
    <definedName name="pvc.2.mas.d" localSheetId="7">#REF!</definedName>
    <definedName name="pvc.2.mas.d" localSheetId="8">#REF!</definedName>
    <definedName name="pvc.2.mas.d" localSheetId="16">#REF!</definedName>
    <definedName name="pvc.2.mas.d" localSheetId="9">#REF!</definedName>
    <definedName name="pvc.2.mas.d">#REF!</definedName>
    <definedName name="pvc.3.mas.d" localSheetId="7">#REF!</definedName>
    <definedName name="pvc.3.mas.d" localSheetId="8">#REF!</definedName>
    <definedName name="pvc.3.mas.d" localSheetId="16">#REF!</definedName>
    <definedName name="pvc.3.mas.d" localSheetId="9">#REF!</definedName>
    <definedName name="pvc.3.mas.d">#REF!</definedName>
    <definedName name="pvc.4.mas.d" localSheetId="7">#REF!</definedName>
    <definedName name="pvc.4.mas.d" localSheetId="8">#REF!</definedName>
    <definedName name="pvc.4.mas.d" localSheetId="16">#REF!</definedName>
    <definedName name="pvc.4.mas.d" localSheetId="9">#REF!</definedName>
    <definedName name="pvc.4.mas.d">#REF!</definedName>
    <definedName name="pvc1.2.aw" localSheetId="7">#REF!</definedName>
    <definedName name="pvc1.2.aw" localSheetId="8">#REF!</definedName>
    <definedName name="pvc1.2.aw" localSheetId="16">#REF!</definedName>
    <definedName name="pvc1.2.aw" localSheetId="9">#REF!</definedName>
    <definedName name="pvc1.2.aw">#REF!</definedName>
    <definedName name="pvc1.2.wav.aw" localSheetId="7">#REF!</definedName>
    <definedName name="pvc1.2.wav.aw" localSheetId="8">#REF!</definedName>
    <definedName name="pvc1.2.wav.aw" localSheetId="16">#REF!</definedName>
    <definedName name="pvc1.2.wav.aw" localSheetId="9">#REF!</definedName>
    <definedName name="pvc1.2.wav.aw">#REF!</definedName>
    <definedName name="pvc2d" localSheetId="7">#REF!</definedName>
    <definedName name="pvc2d" localSheetId="8">#REF!</definedName>
    <definedName name="pvc2d" localSheetId="16">#REF!</definedName>
    <definedName name="pvc2d" localSheetId="9">#REF!</definedName>
    <definedName name="pvc2d">#REF!</definedName>
    <definedName name="pvc3.4.aw" localSheetId="7">#REF!</definedName>
    <definedName name="pvc3.4.aw" localSheetId="8">#REF!</definedName>
    <definedName name="pvc3.4.aw" localSheetId="16">#REF!</definedName>
    <definedName name="pvc3.4.aw" localSheetId="9">#REF!</definedName>
    <definedName name="pvc3.4.aw">#REF!</definedName>
    <definedName name="pvc3d" localSheetId="7">#REF!</definedName>
    <definedName name="pvc3d" localSheetId="8">#REF!</definedName>
    <definedName name="pvc3d" localSheetId="16">#REF!</definedName>
    <definedName name="pvc3d" localSheetId="9">#REF!</definedName>
    <definedName name="pvc3d">#REF!</definedName>
    <definedName name="pvc4d" localSheetId="7">#REF!</definedName>
    <definedName name="pvc4d" localSheetId="8">#REF!</definedName>
    <definedName name="pvc4d" localSheetId="16">#REF!</definedName>
    <definedName name="pvc4d" localSheetId="9">#REF!</definedName>
    <definedName name="pvc4d">#REF!</definedName>
    <definedName name="q" localSheetId="1">#REF!</definedName>
    <definedName name="q" localSheetId="7">#REF!</definedName>
    <definedName name="q" localSheetId="8">#REF!</definedName>
    <definedName name="q" localSheetId="16">#REF!</definedName>
    <definedName name="q" localSheetId="0">#REF!</definedName>
    <definedName name="q" localSheetId="9">#REF!</definedName>
    <definedName name="q">#REF!</definedName>
    <definedName name="QRY.3" hidden="1">'[65]Agregat Halus &amp; Kasar'!$I$12:$I$20</definedName>
    <definedName name="RAB" localSheetId="1">#REF!</definedName>
    <definedName name="RAB" localSheetId="7">#REF!</definedName>
    <definedName name="RAB" localSheetId="8">#REF!</definedName>
    <definedName name="RAB" localSheetId="16">#REF!</definedName>
    <definedName name="RAB" localSheetId="0">#REF!</definedName>
    <definedName name="RAB" localSheetId="9">#REF!</definedName>
    <definedName name="RAB">#REF!</definedName>
    <definedName name="RAB.TEK" localSheetId="7">#REF!</definedName>
    <definedName name="RAB.TEK" localSheetId="8">#REF!</definedName>
    <definedName name="RAB.TEK" localSheetId="16">#REF!</definedName>
    <definedName name="RAB.TEK" localSheetId="9">#REF!</definedName>
    <definedName name="RAB.TEK">#REF!</definedName>
    <definedName name="RAB_APBD" localSheetId="7">#REF!</definedName>
    <definedName name="RAB_APBD" localSheetId="8">#REF!</definedName>
    <definedName name="RAB_APBD" localSheetId="16">#REF!</definedName>
    <definedName name="RAB_APBD" localSheetId="9">#REF!</definedName>
    <definedName name="RAB_APBD">#REF!</definedName>
    <definedName name="RAB_APBN" localSheetId="7">#REF!</definedName>
    <definedName name="RAB_APBN" localSheetId="8">#REF!</definedName>
    <definedName name="RAB_APBN" localSheetId="16">#REF!</definedName>
    <definedName name="RAB_APBN" localSheetId="9">#REF!</definedName>
    <definedName name="RAB_APBN">#REF!</definedName>
    <definedName name="rabasgel" localSheetId="7">'[18]harga lama'!#REF!</definedName>
    <definedName name="rabasgel" localSheetId="8">'[18]harga lama'!#REF!</definedName>
    <definedName name="rabasgel" localSheetId="16">'[18]harga lama'!#REF!</definedName>
    <definedName name="rabasgel" localSheetId="9">'[18]harga lama'!#REF!</definedName>
    <definedName name="rabasgel">'[18]harga lama'!#REF!</definedName>
    <definedName name="rabat" localSheetId="1">[33]Analisis!#REF!</definedName>
    <definedName name="rabat" localSheetId="7">[34]Analisis!#REF!</definedName>
    <definedName name="rabat" localSheetId="8">[34]Analisis!#REF!</definedName>
    <definedName name="rabat" localSheetId="16">[34]Analisis!#REF!</definedName>
    <definedName name="rabat" localSheetId="0">[34]Analisis!#REF!</definedName>
    <definedName name="rabat" localSheetId="9">[34]Analisis!#REF!</definedName>
    <definedName name="rabat">[34]Analisis!#REF!</definedName>
    <definedName name="rabungondulen" localSheetId="7">'[18]harga lama'!#REF!</definedName>
    <definedName name="rabungondulen" localSheetId="8">'[18]harga lama'!#REF!</definedName>
    <definedName name="rabungondulen" localSheetId="16">'[18]harga lama'!#REF!</definedName>
    <definedName name="rabungondulen" localSheetId="9">'[18]harga lama'!#REF!</definedName>
    <definedName name="rabungondulen">'[18]harga lama'!#REF!</definedName>
    <definedName name="rabungonduline" localSheetId="1">[29]cover!#REF!</definedName>
    <definedName name="rabungonduline" localSheetId="7">[30]cover!#REF!</definedName>
    <definedName name="rabungonduline" localSheetId="8">[30]cover!#REF!</definedName>
    <definedName name="rabungonduline" localSheetId="16">[30]cover!#REF!</definedName>
    <definedName name="rabungonduline" localSheetId="0">[30]cover!#REF!</definedName>
    <definedName name="rabungonduline" localSheetId="9">[30]cover!#REF!</definedName>
    <definedName name="rabungonduline">[30]cover!#REF!</definedName>
    <definedName name="ranum" localSheetId="1">#REF!</definedName>
    <definedName name="ranum" localSheetId="7">#REF!</definedName>
    <definedName name="ranum" localSheetId="8">#REF!</definedName>
    <definedName name="ranum" localSheetId="16">#REF!</definedName>
    <definedName name="ranum" localSheetId="9">#REF!</definedName>
    <definedName name="ranum">#REF!</definedName>
    <definedName name="RATIO1" localSheetId="1">[66]RATIO!$F$23:$M$32</definedName>
    <definedName name="RATIO1">[67]RATIO!$F$23:$M$32</definedName>
    <definedName name="REKAP">'[7]Rekap Biaya'!$A$1:$J$45</definedName>
    <definedName name="Rekap." localSheetId="1">#REF!</definedName>
    <definedName name="Rekap." localSheetId="7">#REF!</definedName>
    <definedName name="Rekap." localSheetId="8">#REF!</definedName>
    <definedName name="Rekap." localSheetId="16">#REF!</definedName>
    <definedName name="Rekap." localSheetId="0">#REF!</definedName>
    <definedName name="Rekap." localSheetId="9">#REF!</definedName>
    <definedName name="Rekap.">#REF!</definedName>
    <definedName name="REKAPITULASI" localSheetId="7">#REF!</definedName>
    <definedName name="REKAPITULASI" localSheetId="8">#REF!</definedName>
    <definedName name="REKAPITULASI" localSheetId="16">#REF!</definedName>
    <definedName name="REKAPITULASI" localSheetId="0">#REF!</definedName>
    <definedName name="REKAPITULASI" localSheetId="9">#REF!</definedName>
    <definedName name="REKAPITULASI">#REF!</definedName>
    <definedName name="reng" localSheetId="7">#REF!</definedName>
    <definedName name="reng" localSheetId="8">#REF!</definedName>
    <definedName name="reng" localSheetId="16">#REF!</definedName>
    <definedName name="reng" localSheetId="9">#REF!</definedName>
    <definedName name="reng">#REF!</definedName>
    <definedName name="residu" localSheetId="1">[33]Analisis!#REF!</definedName>
    <definedName name="residu" localSheetId="7">[34]Analisis!#REF!</definedName>
    <definedName name="residu" localSheetId="8">[34]Analisis!#REF!</definedName>
    <definedName name="residu" localSheetId="16">[34]Analisis!#REF!</definedName>
    <definedName name="residu" localSheetId="0">[34]Analisis!#REF!</definedName>
    <definedName name="residu" localSheetId="9">[34]Analisis!#REF!</definedName>
    <definedName name="residu">[34]Analisis!#REF!</definedName>
    <definedName name="rider" localSheetId="7">'[18]harga lama'!#REF!</definedName>
    <definedName name="rider" localSheetId="8">'[18]harga lama'!#REF!</definedName>
    <definedName name="rider" localSheetId="16">'[18]harga lama'!#REF!</definedName>
    <definedName name="rider" localSheetId="9">'[18]harga lama'!#REF!</definedName>
    <definedName name="rider">'[18]harga lama'!#REF!</definedName>
    <definedName name="RINCIANSEWA" localSheetId="7">'[11]An. Alat'!#REF!</definedName>
    <definedName name="RINCIANSEWA" localSheetId="8">'[11]An. Alat'!#REF!</definedName>
    <definedName name="RINCIANSEWA" localSheetId="16">'[11]An. Alat'!#REF!</definedName>
    <definedName name="RINCIANSEWA" localSheetId="9">'[11]An. Alat'!#REF!</definedName>
    <definedName name="RINCIANSEWA">'[11]An. Alat'!#REF!</definedName>
    <definedName name="RINCIANSEWA2" localSheetId="7">'[11]An. Alat'!#REF!</definedName>
    <definedName name="RINCIANSEWA2" localSheetId="8">'[11]An. Alat'!#REF!</definedName>
    <definedName name="RINCIANSEWA2" localSheetId="16">'[11]An. Alat'!#REF!</definedName>
    <definedName name="RINCIANSEWA2" localSheetId="9">'[11]An. Alat'!#REF!</definedName>
    <definedName name="RINCIANSEWA2">'[11]An. Alat'!#REF!</definedName>
    <definedName name="Ringbalk1" localSheetId="7">[23]ANALISA!#REF!</definedName>
    <definedName name="Ringbalk1" localSheetId="8">[23]ANALISA!#REF!</definedName>
    <definedName name="Ringbalk1" localSheetId="16">[23]ANALISA!#REF!</definedName>
    <definedName name="Ringbalk1" localSheetId="9">[23]ANALISA!#REF!</definedName>
    <definedName name="Ringbalk1">[23]ANALISA!#REF!</definedName>
    <definedName name="Ringbalk2" localSheetId="7">[23]ANALISA!#REF!</definedName>
    <definedName name="Ringbalk2" localSheetId="8">[23]ANALISA!#REF!</definedName>
    <definedName name="Ringbalk2" localSheetId="16">[23]ANALISA!#REF!</definedName>
    <definedName name="Ringbalk2" localSheetId="9">[23]ANALISA!#REF!</definedName>
    <definedName name="Ringbalk2">[23]ANALISA!#REF!</definedName>
    <definedName name="rkp">'[7]Rekap Biaya'!$B$2:$J$54</definedName>
    <definedName name="roller" localSheetId="1">#REF!</definedName>
    <definedName name="roller" localSheetId="7">#REF!</definedName>
    <definedName name="roller" localSheetId="8">#REF!</definedName>
    <definedName name="roller" localSheetId="16">#REF!</definedName>
    <definedName name="roller" localSheetId="0">#REF!</definedName>
    <definedName name="roller" localSheetId="9">#REF!</definedName>
    <definedName name="roller">#REF!</definedName>
    <definedName name="rp" localSheetId="7">#REF!</definedName>
    <definedName name="rp" localSheetId="8">#REF!</definedName>
    <definedName name="rp" localSheetId="16">#REF!</definedName>
    <definedName name="rp" localSheetId="0">#REF!</definedName>
    <definedName name="rp" localSheetId="9">#REF!</definedName>
    <definedName name="rp">#REF!</definedName>
    <definedName name="rumah" localSheetId="7">'[3]Kuantitas &amp; Harga'!#REF!</definedName>
    <definedName name="rumah" localSheetId="8">'[3]Kuantitas &amp; Harga'!#REF!</definedName>
    <definedName name="rumah" localSheetId="16">'[3]Kuantitas &amp; Harga'!#REF!</definedName>
    <definedName name="rumah" localSheetId="9">'[3]Kuantitas &amp; Harga'!#REF!</definedName>
    <definedName name="rumah">'[3]Kuantitas &amp; Harga'!#REF!</definedName>
    <definedName name="RUTIN" localSheetId="7">'[7]Kuantitas &amp; Harga'!#REF!</definedName>
    <definedName name="RUTIN" localSheetId="8">'[7]Kuantitas &amp; Harga'!#REF!</definedName>
    <definedName name="RUTIN" localSheetId="16">'[7]Kuantitas &amp; Harga'!#REF!</definedName>
    <definedName name="RUTIN" localSheetId="9">'[7]Kuantitas &amp; Harga'!#REF!</definedName>
    <definedName name="RUTIN">'[7]Kuantitas &amp; Harga'!#REF!</definedName>
    <definedName name="s" localSheetId="1">#REF!</definedName>
    <definedName name="s" localSheetId="7">#REF!</definedName>
    <definedName name="s" localSheetId="8">#REF!</definedName>
    <definedName name="s" localSheetId="16">#REF!</definedName>
    <definedName name="s" localSheetId="0">#REF!</definedName>
    <definedName name="s" localSheetId="9">#REF!</definedName>
    <definedName name="s">#REF!</definedName>
    <definedName name="s.05a" localSheetId="7">#REF!</definedName>
    <definedName name="s.05a" localSheetId="8">#REF!</definedName>
    <definedName name="s.05a" localSheetId="16">#REF!</definedName>
    <definedName name="s.05a" localSheetId="0">#REF!</definedName>
    <definedName name="s.05a" localSheetId="9">#REF!</definedName>
    <definedName name="s.05a">#REF!</definedName>
    <definedName name="s.05b" localSheetId="7">#REF!</definedName>
    <definedName name="s.05b" localSheetId="8">#REF!</definedName>
    <definedName name="s.05b" localSheetId="16">#REF!</definedName>
    <definedName name="s.05b" localSheetId="0">#REF!</definedName>
    <definedName name="s.05b" localSheetId="9">#REF!</definedName>
    <definedName name="s.05b">#REF!</definedName>
    <definedName name="s.05c" localSheetId="7">#REF!</definedName>
    <definedName name="s.05c" localSheetId="8">#REF!</definedName>
    <definedName name="s.05c" localSheetId="16">#REF!</definedName>
    <definedName name="s.05c" localSheetId="0">#REF!</definedName>
    <definedName name="s.05c" localSheetId="9">#REF!</definedName>
    <definedName name="s.05c">#REF!</definedName>
    <definedName name="s.05d" localSheetId="7">#REF!</definedName>
    <definedName name="s.05d" localSheetId="8">#REF!</definedName>
    <definedName name="s.05d" localSheetId="16">#REF!</definedName>
    <definedName name="s.05d" localSheetId="0">#REF!</definedName>
    <definedName name="s.05d" localSheetId="9">#REF!</definedName>
    <definedName name="s.05d">#REF!</definedName>
    <definedName name="s.05e" localSheetId="7">#REF!</definedName>
    <definedName name="s.05e" localSheetId="8">#REF!</definedName>
    <definedName name="s.05e" localSheetId="16">#REF!</definedName>
    <definedName name="s.05e" localSheetId="0">#REF!</definedName>
    <definedName name="s.05e" localSheetId="9">#REF!</definedName>
    <definedName name="s.05e">#REF!</definedName>
    <definedName name="s.05f" localSheetId="7">#REF!</definedName>
    <definedName name="s.05f" localSheetId="8">#REF!</definedName>
    <definedName name="s.05f" localSheetId="16">#REF!</definedName>
    <definedName name="s.05f" localSheetId="0">#REF!</definedName>
    <definedName name="s.05f" localSheetId="9">#REF!</definedName>
    <definedName name="s.05f">#REF!</definedName>
    <definedName name="s.05g" localSheetId="7">#REF!</definedName>
    <definedName name="s.05g" localSheetId="8">#REF!</definedName>
    <definedName name="s.05g" localSheetId="16">#REF!</definedName>
    <definedName name="s.05g" localSheetId="0">#REF!</definedName>
    <definedName name="s.05g" localSheetId="9">#REF!</definedName>
    <definedName name="s.05g">#REF!</definedName>
    <definedName name="s.05h" localSheetId="7">#REF!</definedName>
    <definedName name="s.05h" localSheetId="8">#REF!</definedName>
    <definedName name="s.05h" localSheetId="16">#REF!</definedName>
    <definedName name="s.05h" localSheetId="0">#REF!</definedName>
    <definedName name="s.05h" localSheetId="9">#REF!</definedName>
    <definedName name="s.05h">#REF!</definedName>
    <definedName name="s.05i" localSheetId="7">#REF!</definedName>
    <definedName name="s.05i" localSheetId="8">#REF!</definedName>
    <definedName name="s.05i" localSheetId="16">#REF!</definedName>
    <definedName name="s.05i" localSheetId="0">#REF!</definedName>
    <definedName name="s.05i" localSheetId="9">#REF!</definedName>
    <definedName name="s.05i">#REF!</definedName>
    <definedName name="s.05j" localSheetId="7">#REF!</definedName>
    <definedName name="s.05j" localSheetId="8">#REF!</definedName>
    <definedName name="s.05j" localSheetId="16">#REF!</definedName>
    <definedName name="s.05j" localSheetId="0">#REF!</definedName>
    <definedName name="s.05j" localSheetId="9">#REF!</definedName>
    <definedName name="s.05j">#REF!</definedName>
    <definedName name="S.05J1" localSheetId="7">#REF!</definedName>
    <definedName name="S.05J1" localSheetId="8">#REF!</definedName>
    <definedName name="S.05J1" localSheetId="16">#REF!</definedName>
    <definedName name="S.05J1" localSheetId="0">#REF!</definedName>
    <definedName name="S.05J1" localSheetId="9">#REF!</definedName>
    <definedName name="S.05J1">#REF!</definedName>
    <definedName name="S.05J2" localSheetId="7">#REF!</definedName>
    <definedName name="S.05J2" localSheetId="8">#REF!</definedName>
    <definedName name="S.05J2" localSheetId="16">#REF!</definedName>
    <definedName name="S.05J2" localSheetId="0">#REF!</definedName>
    <definedName name="S.05J2" localSheetId="9">#REF!</definedName>
    <definedName name="S.05J2">#REF!</definedName>
    <definedName name="S.05J3" localSheetId="7">#REF!</definedName>
    <definedName name="S.05J3" localSheetId="8">#REF!</definedName>
    <definedName name="S.05J3" localSheetId="16">#REF!</definedName>
    <definedName name="S.05J3" localSheetId="0">#REF!</definedName>
    <definedName name="S.05J3" localSheetId="9">#REF!</definedName>
    <definedName name="S.05J3">#REF!</definedName>
    <definedName name="S.05J4" localSheetId="7">#REF!</definedName>
    <definedName name="S.05J4" localSheetId="8">#REF!</definedName>
    <definedName name="S.05J4" localSheetId="16">#REF!</definedName>
    <definedName name="S.05J4" localSheetId="0">#REF!</definedName>
    <definedName name="S.05J4" localSheetId="9">#REF!</definedName>
    <definedName name="S.05J4">#REF!</definedName>
    <definedName name="S.05J5" localSheetId="7">#REF!</definedName>
    <definedName name="S.05J5" localSheetId="8">#REF!</definedName>
    <definedName name="S.05J5" localSheetId="16">#REF!</definedName>
    <definedName name="S.05J5" localSheetId="0">#REF!</definedName>
    <definedName name="S.05J5" localSheetId="9">#REF!</definedName>
    <definedName name="S.05J5">#REF!</definedName>
    <definedName name="S.05J6" localSheetId="7">#REF!</definedName>
    <definedName name="S.05J6" localSheetId="8">#REF!</definedName>
    <definedName name="S.05J6" localSheetId="16">#REF!</definedName>
    <definedName name="S.05J6" localSheetId="0">#REF!</definedName>
    <definedName name="S.05J6" localSheetId="9">#REF!</definedName>
    <definedName name="S.05J6">#REF!</definedName>
    <definedName name="S.05J7" localSheetId="7">#REF!</definedName>
    <definedName name="S.05J7" localSheetId="8">#REF!</definedName>
    <definedName name="S.05J7" localSheetId="16">#REF!</definedName>
    <definedName name="S.05J7" localSheetId="0">#REF!</definedName>
    <definedName name="S.05J7" localSheetId="9">#REF!</definedName>
    <definedName name="S.05J7">#REF!</definedName>
    <definedName name="s.05k" localSheetId="7">#REF!</definedName>
    <definedName name="s.05k" localSheetId="8">#REF!</definedName>
    <definedName name="s.05k" localSheetId="16">#REF!</definedName>
    <definedName name="s.05k" localSheetId="0">#REF!</definedName>
    <definedName name="s.05k" localSheetId="9">#REF!</definedName>
    <definedName name="s.05k">#REF!</definedName>
    <definedName name="S.05L" localSheetId="7">#REF!</definedName>
    <definedName name="S.05L" localSheetId="8">#REF!</definedName>
    <definedName name="S.05L" localSheetId="16">#REF!</definedName>
    <definedName name="S.05L" localSheetId="0">#REF!</definedName>
    <definedName name="S.05L" localSheetId="9">#REF!</definedName>
    <definedName name="S.05L">#REF!</definedName>
    <definedName name="S.05M" localSheetId="7">#REF!</definedName>
    <definedName name="S.05M" localSheetId="8">#REF!</definedName>
    <definedName name="S.05M" localSheetId="16">#REF!</definedName>
    <definedName name="S.05M" localSheetId="0">#REF!</definedName>
    <definedName name="S.05M" localSheetId="9">#REF!</definedName>
    <definedName name="S.05M">#REF!</definedName>
    <definedName name="S.05N" localSheetId="7">#REF!</definedName>
    <definedName name="S.05N" localSheetId="8">#REF!</definedName>
    <definedName name="S.05N" localSheetId="16">#REF!</definedName>
    <definedName name="S.05N" localSheetId="9">#REF!</definedName>
    <definedName name="S.05N">#REF!</definedName>
    <definedName name="S.05O" localSheetId="7">#REF!</definedName>
    <definedName name="S.05O" localSheetId="8">#REF!</definedName>
    <definedName name="S.05O" localSheetId="16">#REF!</definedName>
    <definedName name="S.05O" localSheetId="9">#REF!</definedName>
    <definedName name="S.05O">#REF!</definedName>
    <definedName name="S.05P" localSheetId="7">#REF!</definedName>
    <definedName name="S.05P" localSheetId="8">#REF!</definedName>
    <definedName name="S.05P" localSheetId="16">#REF!</definedName>
    <definedName name="S.05P" localSheetId="9">#REF!</definedName>
    <definedName name="S.05P">#REF!</definedName>
    <definedName name="S.05Q" localSheetId="7">#REF!</definedName>
    <definedName name="S.05Q" localSheetId="8">#REF!</definedName>
    <definedName name="S.05Q" localSheetId="16">#REF!</definedName>
    <definedName name="S.05Q" localSheetId="9">#REF!</definedName>
    <definedName name="S.05Q">#REF!</definedName>
    <definedName name="s.05r" localSheetId="7">#REF!</definedName>
    <definedName name="s.05r" localSheetId="8">#REF!</definedName>
    <definedName name="s.05r" localSheetId="16">#REF!</definedName>
    <definedName name="s.05r" localSheetId="9">#REF!</definedName>
    <definedName name="s.05r">#REF!</definedName>
    <definedName name="s.05s" localSheetId="7">#REF!</definedName>
    <definedName name="s.05s" localSheetId="8">#REF!</definedName>
    <definedName name="s.05s" localSheetId="16">#REF!</definedName>
    <definedName name="s.05s" localSheetId="9">#REF!</definedName>
    <definedName name="s.05s">#REF!</definedName>
    <definedName name="s.05t" localSheetId="7">#REF!</definedName>
    <definedName name="s.05t" localSheetId="8">#REF!</definedName>
    <definedName name="s.05t" localSheetId="16">#REF!</definedName>
    <definedName name="s.05t" localSheetId="9">#REF!</definedName>
    <definedName name="s.05t">#REF!</definedName>
    <definedName name="S.05U" localSheetId="7">#REF!</definedName>
    <definedName name="S.05U" localSheetId="8">#REF!</definedName>
    <definedName name="S.05U" localSheetId="16">#REF!</definedName>
    <definedName name="S.05U" localSheetId="9">#REF!</definedName>
    <definedName name="S.05U">#REF!</definedName>
    <definedName name="s.09a" localSheetId="7">#REF!</definedName>
    <definedName name="s.09a" localSheetId="8">#REF!</definedName>
    <definedName name="s.09a" localSheetId="16">#REF!</definedName>
    <definedName name="s.09a" localSheetId="0">#REF!</definedName>
    <definedName name="s.09a" localSheetId="9">#REF!</definedName>
    <definedName name="s.09a">#REF!</definedName>
    <definedName name="s.09b" localSheetId="7">#REF!</definedName>
    <definedName name="s.09b" localSheetId="8">#REF!</definedName>
    <definedName name="s.09b" localSheetId="16">#REF!</definedName>
    <definedName name="s.09b" localSheetId="0">#REF!</definedName>
    <definedName name="s.09b" localSheetId="9">#REF!</definedName>
    <definedName name="s.09b">#REF!</definedName>
    <definedName name="s.09c" localSheetId="7">#REF!</definedName>
    <definedName name="s.09c" localSheetId="8">#REF!</definedName>
    <definedName name="s.09c" localSheetId="16">#REF!</definedName>
    <definedName name="s.09c" localSheetId="0">#REF!</definedName>
    <definedName name="s.09c" localSheetId="9">#REF!</definedName>
    <definedName name="s.09c">#REF!</definedName>
    <definedName name="s.tukang" localSheetId="7">#REF!</definedName>
    <definedName name="s.tukang" localSheetId="8">#REF!</definedName>
    <definedName name="s.tukang" localSheetId="16">#REF!</definedName>
    <definedName name="s.tukang" localSheetId="9">#REF!</definedName>
    <definedName name="s.tukang">#REF!</definedName>
    <definedName name="s.warna" localSheetId="7">#REF!</definedName>
    <definedName name="s.warna" localSheetId="8">#REF!</definedName>
    <definedName name="s.warna" localSheetId="16">#REF!</definedName>
    <definedName name="s.warna" localSheetId="9">#REF!</definedName>
    <definedName name="s.warna">#REF!</definedName>
    <definedName name="sabtu">'[1]Upah&amp;Bahan'!$C$15</definedName>
    <definedName name="sabu">'[1]Upah&amp;Bahan'!$C$26</definedName>
    <definedName name="saklar" localSheetId="4">'[18]harga lama'!#REF!</definedName>
    <definedName name="saklar" localSheetId="1">'[18]harga lama'!#REF!</definedName>
    <definedName name="saklar" localSheetId="7">'[18]harga lama'!#REF!</definedName>
    <definedName name="saklar" localSheetId="8">'[18]harga lama'!#REF!</definedName>
    <definedName name="saklar" localSheetId="16">'[18]harga lama'!#REF!</definedName>
    <definedName name="saklar" localSheetId="9">'[18]harga lama'!#REF!</definedName>
    <definedName name="saklar">'[18]harga lama'!#REF!</definedName>
    <definedName name="saku">'[1]Upah&amp;Bahan'!$C$21</definedName>
    <definedName name="sali">'[1]Upah&amp;Bahan'!$C$22</definedName>
    <definedName name="salome">'[1]Upah&amp;Bahan'!$C$16</definedName>
    <definedName name="sampai">'[3]Upah&amp;Bahan'!$C$51</definedName>
    <definedName name="sanum">'[1]Upah&amp;Bahan'!$C$17</definedName>
    <definedName name="sanur">'[1]Upah&amp;Bahan'!$C$24</definedName>
    <definedName name="satin">'[1]Upah&amp;Bahan'!$C$23</definedName>
    <definedName name="satu" localSheetId="1">#REF!</definedName>
    <definedName name="satu" localSheetId="7">#REF!</definedName>
    <definedName name="satu" localSheetId="8">#REF!</definedName>
    <definedName name="satu" localSheetId="16">#REF!</definedName>
    <definedName name="satu" localSheetId="9">#REF!</definedName>
    <definedName name="satu">#REF!</definedName>
    <definedName name="saya">'[1]Upah&amp;Bahan'!$C$18</definedName>
    <definedName name="sayang" localSheetId="4">'[3]Kuantitas &amp; Harga'!#REF!</definedName>
    <definedName name="sayang" localSheetId="1">'[3]Kuantitas &amp; Harga'!#REF!</definedName>
    <definedName name="sayang" localSheetId="7">'[3]Kuantitas &amp; Harga'!#REF!</definedName>
    <definedName name="sayang" localSheetId="8">'[3]Kuantitas &amp; Harga'!#REF!</definedName>
    <definedName name="sayang" localSheetId="16">'[3]Kuantitas &amp; Harga'!#REF!</definedName>
    <definedName name="sayang" localSheetId="9">'[3]Kuantitas &amp; Harga'!#REF!</definedName>
    <definedName name="sayang">'[3]Kuantitas &amp; Harga'!#REF!</definedName>
    <definedName name="sayu">'[1]Upah&amp;Bahan'!$C$19</definedName>
    <definedName name="sayur">'[1]Upah&amp;Bahan'!$C$27</definedName>
    <definedName name="sd" localSheetId="1">#REF!</definedName>
    <definedName name="sd" localSheetId="7">#REF!</definedName>
    <definedName name="sd" localSheetId="8">#REF!</definedName>
    <definedName name="sd" localSheetId="16">#REF!</definedName>
    <definedName name="sd" localSheetId="0">#REF!</definedName>
    <definedName name="sd" localSheetId="9">#REF!</definedName>
    <definedName name="sd">#REF!</definedName>
    <definedName name="sealer" localSheetId="7">#REF!</definedName>
    <definedName name="sealer" localSheetId="8">#REF!</definedName>
    <definedName name="sealer" localSheetId="16">#REF!</definedName>
    <definedName name="sealer" localSheetId="9">#REF!</definedName>
    <definedName name="sealer">#REF!</definedName>
    <definedName name="sealer.mowi" localSheetId="7">#REF!</definedName>
    <definedName name="sealer.mowi" localSheetId="8">#REF!</definedName>
    <definedName name="sealer.mowi" localSheetId="16">#REF!</definedName>
    <definedName name="sealer.mowi" localSheetId="9">#REF!</definedName>
    <definedName name="sealer.mowi">#REF!</definedName>
    <definedName name="sealer.vini" localSheetId="7">#REF!</definedName>
    <definedName name="sealer.vini" localSheetId="8">#REF!</definedName>
    <definedName name="sealer.vini" localSheetId="16">#REF!</definedName>
    <definedName name="sealer.vini" localSheetId="9">#REF!</definedName>
    <definedName name="sealer.vini">#REF!</definedName>
    <definedName name="sekali">'[3]Upah&amp;Bahan'!$C$43</definedName>
    <definedName name="semen" localSheetId="1">#REF!</definedName>
    <definedName name="semen" localSheetId="7">#REF!</definedName>
    <definedName name="semen" localSheetId="8">#REF!</definedName>
    <definedName name="semen" localSheetId="16">#REF!</definedName>
    <definedName name="semen" localSheetId="0">#REF!</definedName>
    <definedName name="semen" localSheetId="9">#REF!</definedName>
    <definedName name="semen">#REF!</definedName>
    <definedName name="Semenpc40">[35]UPAH!$D$36</definedName>
    <definedName name="seng" localSheetId="4">[34]Analisis!#REF!</definedName>
    <definedName name="seng" localSheetId="1">[33]Analisis!#REF!</definedName>
    <definedName name="seng" localSheetId="7">[34]Analisis!#REF!</definedName>
    <definedName name="seng" localSheetId="8">[34]Analisis!#REF!</definedName>
    <definedName name="seng" localSheetId="16">[34]Analisis!#REF!</definedName>
    <definedName name="seng" localSheetId="0">[34]Analisis!#REF!</definedName>
    <definedName name="seng" localSheetId="9">[34]Analisis!#REF!</definedName>
    <definedName name="seng">[34]Analisis!#REF!</definedName>
    <definedName name="sengplat" localSheetId="1">[43]rekap!$D$29</definedName>
    <definedName name="sengplat">[44]rekap!$D$29</definedName>
    <definedName name="septictank2" localSheetId="4">'[18]harga lama'!#REF!</definedName>
    <definedName name="septictank2" localSheetId="1">'[18]harga lama'!#REF!</definedName>
    <definedName name="septictank2" localSheetId="7">'[18]harga lama'!#REF!</definedName>
    <definedName name="septictank2" localSheetId="8">'[18]harga lama'!#REF!</definedName>
    <definedName name="septictank2" localSheetId="16">'[18]harga lama'!#REF!</definedName>
    <definedName name="septictank2" localSheetId="9">'[18]harga lama'!#REF!</definedName>
    <definedName name="septictank2">'[18]harga lama'!#REF!</definedName>
    <definedName name="seumantok" localSheetId="1">[43]rekap!$D$42</definedName>
    <definedName name="seumantok">[44]rekap!$D$42</definedName>
    <definedName name="sg" localSheetId="1">#REF!</definedName>
    <definedName name="sg" localSheetId="7">#REF!</definedName>
    <definedName name="sg" localSheetId="8">#REF!</definedName>
    <definedName name="sg" localSheetId="16">#REF!</definedName>
    <definedName name="sg" localSheetId="0">#REF!</definedName>
    <definedName name="sg" localSheetId="9">#REF!</definedName>
    <definedName name="sg">#REF!</definedName>
    <definedName name="sga" localSheetId="7">#REF!</definedName>
    <definedName name="sga" localSheetId="8">#REF!</definedName>
    <definedName name="sga" localSheetId="16">#REF!</definedName>
    <definedName name="sga" localSheetId="0">#REF!</definedName>
    <definedName name="sga" localSheetId="9">#REF!</definedName>
    <definedName name="sga">#REF!</definedName>
    <definedName name="shovel" localSheetId="7">#REF!</definedName>
    <definedName name="shovel" localSheetId="8">#REF!</definedName>
    <definedName name="shovel" localSheetId="16">#REF!</definedName>
    <definedName name="shovel" localSheetId="0">#REF!</definedName>
    <definedName name="shovel" localSheetId="9">#REF!</definedName>
    <definedName name="shovel">#REF!</definedName>
    <definedName name="siapakah">'[3]Upah&amp;Bahan'!$C$22</definedName>
    <definedName name="siku">'[1]Upah&amp;Bahan'!$C$20</definedName>
    <definedName name="sirtu" localSheetId="1">#REF!</definedName>
    <definedName name="sirtu" localSheetId="7">#REF!</definedName>
    <definedName name="sirtu" localSheetId="8">#REF!</definedName>
    <definedName name="sirtu" localSheetId="16">#REF!</definedName>
    <definedName name="sirtu" localSheetId="0">#REF!</definedName>
    <definedName name="sirtu" localSheetId="9">#REF!</definedName>
    <definedName name="sirtu">#REF!</definedName>
    <definedName name="sisikbadak" localSheetId="1">[33]Analisis!#REF!</definedName>
    <definedName name="sisikbadak" localSheetId="7">[34]Analisis!#REF!</definedName>
    <definedName name="sisikbadak" localSheetId="8">[34]Analisis!#REF!</definedName>
    <definedName name="sisikbadak" localSheetId="16">[34]Analisis!#REF!</definedName>
    <definedName name="sisikbadak" localSheetId="0">[34]Analisis!#REF!</definedName>
    <definedName name="sisikbadak" localSheetId="9">[34]Analisis!#REF!</definedName>
    <definedName name="sisikbadak">[34]Analisis!#REF!</definedName>
    <definedName name="Slof" localSheetId="1">#REF!</definedName>
    <definedName name="Slof" localSheetId="7">#REF!</definedName>
    <definedName name="Slof" localSheetId="8">#REF!</definedName>
    <definedName name="Slof" localSheetId="16">#REF!</definedName>
    <definedName name="Slof" localSheetId="0">#REF!</definedName>
    <definedName name="Slof" localSheetId="9">#REF!</definedName>
    <definedName name="Slof">#REF!</definedName>
    <definedName name="sloof" localSheetId="7">#REF!</definedName>
    <definedName name="sloof" localSheetId="8">#REF!</definedName>
    <definedName name="sloof" localSheetId="16">#REF!</definedName>
    <definedName name="sloof" localSheetId="9">#REF!</definedName>
    <definedName name="sloof">#REF!</definedName>
    <definedName name="Sloof1" localSheetId="7">[23]ANALISA!#REF!</definedName>
    <definedName name="Sloof1" localSheetId="8">[23]ANALISA!#REF!</definedName>
    <definedName name="Sloof1" localSheetId="16">[23]ANALISA!#REF!</definedName>
    <definedName name="Sloof1" localSheetId="9">[23]ANALISA!#REF!</definedName>
    <definedName name="Sloof1">[23]ANALISA!#REF!</definedName>
    <definedName name="Sloof15.20" localSheetId="7">[23]ANALISA!#REF!</definedName>
    <definedName name="Sloof15.20" localSheetId="8">[23]ANALISA!#REF!</definedName>
    <definedName name="Sloof15.20" localSheetId="16">[23]ANALISA!#REF!</definedName>
    <definedName name="Sloof15.20" localSheetId="9">[23]ANALISA!#REF!</definedName>
    <definedName name="Sloof15.20">[23]ANALISA!#REF!</definedName>
    <definedName name="Sloof2" localSheetId="7">[23]ANALISA!#REF!</definedName>
    <definedName name="Sloof2" localSheetId="8">[23]ANALISA!#REF!</definedName>
    <definedName name="Sloof2" localSheetId="16">[23]ANALISA!#REF!</definedName>
    <definedName name="Sloof2" localSheetId="9">[23]ANALISA!#REF!</definedName>
    <definedName name="Sloof2">[23]ANALISA!#REF!</definedName>
    <definedName name="Sloof3" localSheetId="7">[23]ANALISA!#REF!</definedName>
    <definedName name="Sloof3" localSheetId="8">[23]ANALISA!#REF!</definedName>
    <definedName name="Sloof3" localSheetId="16">[23]ANALISA!#REF!</definedName>
    <definedName name="Sloof3" localSheetId="9">[23]ANALISA!#REF!</definedName>
    <definedName name="Sloof3">[23]ANALISA!#REF!</definedName>
    <definedName name="Sloof4" localSheetId="7">[23]ANALISA!#REF!</definedName>
    <definedName name="Sloof4" localSheetId="8">[23]ANALISA!#REF!</definedName>
    <definedName name="Sloof4" localSheetId="16">[23]ANALISA!#REF!</definedName>
    <definedName name="Sloof4" localSheetId="9">[23]ANALISA!#REF!</definedName>
    <definedName name="Sloof4">[23]ANALISA!#REF!</definedName>
    <definedName name="solar" localSheetId="7">'[18]harga lama'!#REF!</definedName>
    <definedName name="solar" localSheetId="8">'[18]harga lama'!#REF!</definedName>
    <definedName name="solar" localSheetId="16">'[18]harga lama'!#REF!</definedName>
    <definedName name="solar" localSheetId="9">'[18]harga lama'!#REF!</definedName>
    <definedName name="solar">'[18]harga lama'!#REF!</definedName>
    <definedName name="solarm" localSheetId="7">'[31]DU&amp;B'!#REF!</definedName>
    <definedName name="solarm" localSheetId="8">'[31]DU&amp;B'!#REF!</definedName>
    <definedName name="solarm" localSheetId="16">'[31]DU&amp;B'!#REF!</definedName>
    <definedName name="solarm" localSheetId="9">'[31]DU&amp;B'!#REF!</definedName>
    <definedName name="solarm">'[31]DU&amp;B'!#REF!</definedName>
    <definedName name="spc" localSheetId="1">#REF!</definedName>
    <definedName name="spc" localSheetId="7">#REF!</definedName>
    <definedName name="spc" localSheetId="8">#REF!</definedName>
    <definedName name="spc" localSheetId="16">#REF!</definedName>
    <definedName name="spc" localSheetId="9">#REF!</definedName>
    <definedName name="spc">#REF!</definedName>
    <definedName name="split1.2" localSheetId="7">#REF!</definedName>
    <definedName name="split1.2" localSheetId="8">#REF!</definedName>
    <definedName name="split1.2" localSheetId="16">#REF!</definedName>
    <definedName name="split1.2" localSheetId="9">#REF!</definedName>
    <definedName name="split1.2">#REF!</definedName>
    <definedName name="split2.3" localSheetId="7">#REF!</definedName>
    <definedName name="split2.3" localSheetId="8">#REF!</definedName>
    <definedName name="split2.3" localSheetId="16">#REF!</definedName>
    <definedName name="split2.3" localSheetId="9">#REF!</definedName>
    <definedName name="split2.3">#REF!</definedName>
    <definedName name="SPRAYER" localSheetId="7">'[11]An. Alat'!#REF!</definedName>
    <definedName name="SPRAYER" localSheetId="8">'[11]An. Alat'!#REF!</definedName>
    <definedName name="SPRAYER" localSheetId="16">'[11]An. Alat'!#REF!</definedName>
    <definedName name="SPRAYER" localSheetId="9">'[11]An. Alat'!#REF!</definedName>
    <definedName name="SPRAYER">'[11]An. Alat'!#REF!</definedName>
    <definedName name="ss" localSheetId="1">#REF!</definedName>
    <definedName name="ss" localSheetId="7">#REF!</definedName>
    <definedName name="ss" localSheetId="8">#REF!</definedName>
    <definedName name="ss" localSheetId="16">#REF!</definedName>
    <definedName name="ss" localSheetId="0">#REF!</definedName>
    <definedName name="ss" localSheetId="9">#REF!</definedName>
    <definedName name="ss">#REF!</definedName>
    <definedName name="stairnzing" localSheetId="7">#REF!</definedName>
    <definedName name="stairnzing" localSheetId="8">#REF!</definedName>
    <definedName name="stairnzing" localSheetId="16">#REF!</definedName>
    <definedName name="stairnzing" localSheetId="9">#REF!</definedName>
    <definedName name="stairnzing">#REF!</definedName>
    <definedName name="stamper" localSheetId="7">[68]harga!#REF!</definedName>
    <definedName name="stamper" localSheetId="8">[68]harga!#REF!</definedName>
    <definedName name="stamper" localSheetId="16">[68]harga!#REF!</definedName>
    <definedName name="stamper" localSheetId="9">[68]harga!#REF!</definedName>
    <definedName name="stamper">[68]harga!#REF!</definedName>
    <definedName name="steel" localSheetId="7">'[40]WF '!#REF!</definedName>
    <definedName name="steel" localSheetId="8">'[40]WF '!#REF!</definedName>
    <definedName name="steel" localSheetId="16">'[40]WF '!#REF!</definedName>
    <definedName name="steel" localSheetId="9">'[40]WF '!#REF!</definedName>
    <definedName name="steel">'[40]WF '!#REF!</definedName>
    <definedName name="stektiang" localSheetId="1">#REF!</definedName>
    <definedName name="stektiang" localSheetId="7">#REF!</definedName>
    <definedName name="stektiang" localSheetId="8">#REF!</definedName>
    <definedName name="stektiang" localSheetId="16">#REF!</definedName>
    <definedName name="stektiang" localSheetId="9">#REF!</definedName>
    <definedName name="stektiang">#REF!</definedName>
    <definedName name="stone" localSheetId="7">#REF!</definedName>
    <definedName name="stone" localSheetId="8">#REF!</definedName>
    <definedName name="stone" localSheetId="16">#REF!</definedName>
    <definedName name="stone" localSheetId="0">#REF!</definedName>
    <definedName name="stone" localSheetId="9">#REF!</definedName>
    <definedName name="stone">#REF!</definedName>
    <definedName name="STONECRUSHER">'[11]An. Alat'!$A$533:$J$533</definedName>
    <definedName name="stopkontak" localSheetId="4">'[18]harga lama'!#REF!</definedName>
    <definedName name="stopkontak" localSheetId="1">'[18]harga lama'!#REF!</definedName>
    <definedName name="stopkontak" localSheetId="7">'[18]harga lama'!#REF!</definedName>
    <definedName name="stopkontak" localSheetId="8">'[18]harga lama'!#REF!</definedName>
    <definedName name="stopkontak" localSheetId="16">'[18]harga lama'!#REF!</definedName>
    <definedName name="stopkontak" localSheetId="9">'[18]harga lama'!#REF!</definedName>
    <definedName name="stopkontak">'[18]harga lama'!#REF!</definedName>
    <definedName name="str" localSheetId="1">#REF!</definedName>
    <definedName name="str" localSheetId="7">#REF!</definedName>
    <definedName name="str" localSheetId="8">#REF!</definedName>
    <definedName name="str" localSheetId="16">#REF!</definedName>
    <definedName name="str" localSheetId="0">#REF!</definedName>
    <definedName name="str" localSheetId="9">#REF!</definedName>
    <definedName name="str">#REF!</definedName>
    <definedName name="stress">'[3]Upah&amp;Bahan'!$C$19</definedName>
    <definedName name="STRUKTUR">'[7]Kuantitas &amp; Harga'!$A$156:$H$302</definedName>
    <definedName name="sunloid" localSheetId="1">#REF!</definedName>
    <definedName name="sunloid" localSheetId="7">#REF!</definedName>
    <definedName name="sunloid" localSheetId="8">#REF!</definedName>
    <definedName name="sunloid" localSheetId="16">#REF!</definedName>
    <definedName name="sunloid" localSheetId="9">#REF!</definedName>
    <definedName name="sunloid">#REF!</definedName>
    <definedName name="SUPL.5C" localSheetId="7">#REF!</definedName>
    <definedName name="SUPL.5C" localSheetId="8">#REF!</definedName>
    <definedName name="SUPL.5C" localSheetId="16">#REF!</definedName>
    <definedName name="SUPL.5C" localSheetId="9">#REF!</definedName>
    <definedName name="SUPL.5C">#REF!</definedName>
    <definedName name="SUPL.9" localSheetId="7">#REF!</definedName>
    <definedName name="SUPL.9" localSheetId="8">#REF!</definedName>
    <definedName name="SUPL.9" localSheetId="16">#REF!</definedName>
    <definedName name="SUPL.9" localSheetId="9">#REF!</definedName>
    <definedName name="SUPL.9">#REF!</definedName>
    <definedName name="SUPL.9A" localSheetId="7">#REF!</definedName>
    <definedName name="SUPL.9A" localSheetId="8">#REF!</definedName>
    <definedName name="SUPL.9A" localSheetId="16">#REF!</definedName>
    <definedName name="SUPL.9A" localSheetId="9">#REF!</definedName>
    <definedName name="SUPL.9A">#REF!</definedName>
    <definedName name="SUPL.VA" localSheetId="7">#REF!</definedName>
    <definedName name="SUPL.VA" localSheetId="8">#REF!</definedName>
    <definedName name="SUPL.VA" localSheetId="16">#REF!</definedName>
    <definedName name="SUPL.VA" localSheetId="9">#REF!</definedName>
    <definedName name="SUPL.VA">#REF!</definedName>
    <definedName name="SUPL.VB" localSheetId="7">#REF!</definedName>
    <definedName name="SUPL.VB" localSheetId="8">#REF!</definedName>
    <definedName name="SUPL.VB" localSheetId="16">#REF!</definedName>
    <definedName name="SUPL.VB" localSheetId="9">#REF!</definedName>
    <definedName name="SUPL.VB">#REF!</definedName>
    <definedName name="SUPL.VC" localSheetId="7">#REF!</definedName>
    <definedName name="SUPL.VC" localSheetId="8">#REF!</definedName>
    <definedName name="SUPL.VC" localSheetId="16">#REF!</definedName>
    <definedName name="SUPL.VC" localSheetId="9">#REF!</definedName>
    <definedName name="SUPL.VC">#REF!</definedName>
    <definedName name="SUPL.VD" localSheetId="7">#REF!</definedName>
    <definedName name="SUPL.VD" localSheetId="8">#REF!</definedName>
    <definedName name="SUPL.VD" localSheetId="16">#REF!</definedName>
    <definedName name="SUPL.VD" localSheetId="9">#REF!</definedName>
    <definedName name="SUPL.VD">#REF!</definedName>
    <definedName name="SUPL.VE" localSheetId="7">#REF!</definedName>
    <definedName name="SUPL.VE" localSheetId="8">#REF!</definedName>
    <definedName name="SUPL.VE" localSheetId="16">#REF!</definedName>
    <definedName name="SUPL.VE" localSheetId="9">#REF!</definedName>
    <definedName name="SUPL.VE">#REF!</definedName>
    <definedName name="SUPL.VF" localSheetId="7">#REF!</definedName>
    <definedName name="SUPL.VF" localSheetId="8">#REF!</definedName>
    <definedName name="SUPL.VF" localSheetId="16">#REF!</definedName>
    <definedName name="SUPL.VF" localSheetId="9">#REF!</definedName>
    <definedName name="SUPL.VF">#REF!</definedName>
    <definedName name="SUPL.VG" localSheetId="7">#REF!</definedName>
    <definedName name="SUPL.VG" localSheetId="8">#REF!</definedName>
    <definedName name="SUPL.VG" localSheetId="16">#REF!</definedName>
    <definedName name="SUPL.VG" localSheetId="9">#REF!</definedName>
    <definedName name="SUPL.VG">#REF!</definedName>
    <definedName name="SUPL.VH" localSheetId="7">#REF!</definedName>
    <definedName name="SUPL.VH" localSheetId="8">#REF!</definedName>
    <definedName name="SUPL.VH" localSheetId="16">#REF!</definedName>
    <definedName name="SUPL.VH" localSheetId="9">#REF!</definedName>
    <definedName name="SUPL.VH">#REF!</definedName>
    <definedName name="Supliiib" localSheetId="7">[25]ANALISA!#REF!</definedName>
    <definedName name="Supliiib" localSheetId="8">[25]ANALISA!#REF!</definedName>
    <definedName name="Supliiib" localSheetId="16">[25]ANALISA!#REF!</definedName>
    <definedName name="Supliiib" localSheetId="9">[25]ANALISA!#REF!</definedName>
    <definedName name="Supliiib">[25]ANALISA!#REF!</definedName>
    <definedName name="supliva">[26]ANALISA!$G$116</definedName>
    <definedName name="suplivg" localSheetId="4">[25]ANALISA!#REF!</definedName>
    <definedName name="suplivg" localSheetId="1">[25]ANALISA!#REF!</definedName>
    <definedName name="suplivg" localSheetId="7">[25]ANALISA!#REF!</definedName>
    <definedName name="suplivg" localSheetId="8">[25]ANALISA!#REF!</definedName>
    <definedName name="suplivg" localSheetId="16">[25]ANALISA!#REF!</definedName>
    <definedName name="suplivg" localSheetId="9">[25]ANALISA!#REF!</definedName>
    <definedName name="suplivg">[25]ANALISA!#REF!</definedName>
    <definedName name="t" localSheetId="1">#REF!</definedName>
    <definedName name="t" localSheetId="7">#REF!</definedName>
    <definedName name="t" localSheetId="8">#REF!</definedName>
    <definedName name="t" localSheetId="16">#REF!</definedName>
    <definedName name="t" localSheetId="9">#REF!</definedName>
    <definedName name="t">#REF!</definedName>
    <definedName name="t.sabun" localSheetId="7">#REF!</definedName>
    <definedName name="t.sabun" localSheetId="8">#REF!</definedName>
    <definedName name="t.sabun" localSheetId="16">#REF!</definedName>
    <definedName name="t.sabun" localSheetId="9">#REF!</definedName>
    <definedName name="t.sabun">#REF!</definedName>
    <definedName name="tamper" localSheetId="7">#REF!</definedName>
    <definedName name="tamper" localSheetId="8">#REF!</definedName>
    <definedName name="tamper" localSheetId="16">#REF!</definedName>
    <definedName name="tamper" localSheetId="0">#REF!</definedName>
    <definedName name="tamper" localSheetId="9">#REF!</definedName>
    <definedName name="tamper">#REF!</definedName>
    <definedName name="tamu">'[1]Upah&amp;Bahan'!$C$62</definedName>
    <definedName name="TANAH">'[7]Kuantitas &amp; Harga'!$A$53:$H$86</definedName>
    <definedName name="Tanahurug" localSheetId="4">'[18]harga lama'!#REF!</definedName>
    <definedName name="Tanahurug" localSheetId="1">'[18]harga lama'!#REF!</definedName>
    <definedName name="Tanahurug" localSheetId="7">'[18]harga lama'!#REF!</definedName>
    <definedName name="Tanahurug" localSheetId="8">'[18]harga lama'!#REF!</definedName>
    <definedName name="Tanahurug" localSheetId="16">'[18]harga lama'!#REF!</definedName>
    <definedName name="Tanahurug" localSheetId="9">'[18]harga lama'!#REF!</definedName>
    <definedName name="Tanahurug">'[18]harga lama'!#REF!</definedName>
    <definedName name="Tandem" localSheetId="1">[43]rekap!$D$80</definedName>
    <definedName name="Tandem">[44]rekap!$D$80</definedName>
    <definedName name="TANDEMROLLER" localSheetId="4">'[11]An. Alat'!#REF!</definedName>
    <definedName name="TANDEMROLLER" localSheetId="1">'[11]An. Alat'!#REF!</definedName>
    <definedName name="TANDEMROLLER" localSheetId="7">'[11]An. Alat'!#REF!</definedName>
    <definedName name="TANDEMROLLER" localSheetId="8">'[11]An. Alat'!#REF!</definedName>
    <definedName name="TANDEMROLLER" localSheetId="16">'[11]An. Alat'!#REF!</definedName>
    <definedName name="TANDEMROLLER" localSheetId="9">'[11]An. Alat'!#REF!</definedName>
    <definedName name="TANDEMROLLER">'[11]An. Alat'!#REF!</definedName>
    <definedName name="Tantim">[69]Dafhrg!$H$97</definedName>
    <definedName name="tapak" localSheetId="4">[34]Analisis!#REF!</definedName>
    <definedName name="tapak" localSheetId="1">[33]Analisis!#REF!</definedName>
    <definedName name="tapak" localSheetId="7">[34]Analisis!#REF!</definedName>
    <definedName name="tapak" localSheetId="8">[34]Analisis!#REF!</definedName>
    <definedName name="tapak" localSheetId="16">[34]Analisis!#REF!</definedName>
    <definedName name="tapak" localSheetId="0">[34]Analisis!#REF!</definedName>
    <definedName name="tapak" localSheetId="9">[34]Analisis!#REF!</definedName>
    <definedName name="tapak">[34]Analisis!#REF!</definedName>
    <definedName name="tatim" localSheetId="1">'[31]DU&amp;B'!#REF!</definedName>
    <definedName name="tatim" localSheetId="7">'[31]DU&amp;B'!#REF!</definedName>
    <definedName name="tatim" localSheetId="8">'[31]DU&amp;B'!#REF!</definedName>
    <definedName name="tatim" localSheetId="16">'[31]DU&amp;B'!#REF!</definedName>
    <definedName name="tatim" localSheetId="9">'[31]DU&amp;B'!#REF!</definedName>
    <definedName name="tatim">'[31]DU&amp;B'!#REF!</definedName>
    <definedName name="tbat">'[37]DU&amp;B'!$F$13</definedName>
    <definedName name="team">'[1]Upah&amp;Bahan'!$C$68</definedName>
    <definedName name="Tempatmasak" localSheetId="4">[68]harga!#REF!</definedName>
    <definedName name="Tempatmasak" localSheetId="1">[68]harga!#REF!</definedName>
    <definedName name="Tempatmasak" localSheetId="7">[68]harga!#REF!</definedName>
    <definedName name="Tempatmasak" localSheetId="8">[68]harga!#REF!</definedName>
    <definedName name="Tempatmasak" localSheetId="16">[68]harga!#REF!</definedName>
    <definedName name="Tempatmasak" localSheetId="9">[68]harga!#REF!</definedName>
    <definedName name="Tempatmasak">[68]harga!#REF!</definedName>
    <definedName name="ter" localSheetId="1">#REF!</definedName>
    <definedName name="ter" localSheetId="7">#REF!</definedName>
    <definedName name="ter" localSheetId="8">#REF!</definedName>
    <definedName name="ter" localSheetId="16">#REF!</definedName>
    <definedName name="ter" localSheetId="0">#REF!</definedName>
    <definedName name="ter" localSheetId="9">#REF!</definedName>
    <definedName name="ter">#REF!</definedName>
    <definedName name="terntang" localSheetId="7">#REF!</definedName>
    <definedName name="terntang" localSheetId="8">#REF!</definedName>
    <definedName name="terntang" localSheetId="16">#REF!</definedName>
    <definedName name="terntang" localSheetId="9">#REF!</definedName>
    <definedName name="terntang">#REF!</definedName>
    <definedName name="THREEWHEELROLLER" localSheetId="7">'[11]An. Alat'!#REF!</definedName>
    <definedName name="THREEWHEELROLLER" localSheetId="8">'[11]An. Alat'!#REF!</definedName>
    <definedName name="THREEWHEELROLLER" localSheetId="16">'[11]An. Alat'!#REF!</definedName>
    <definedName name="THREEWHEELROLLER" localSheetId="9">'[11]An. Alat'!#REF!</definedName>
    <definedName name="THREEWHEELROLLER">'[11]An. Alat'!#REF!</definedName>
    <definedName name="timbunan" localSheetId="1">#REF!</definedName>
    <definedName name="timbunan" localSheetId="7">#REF!</definedName>
    <definedName name="timbunan" localSheetId="8">#REF!</definedName>
    <definedName name="timbunan" localSheetId="16">#REF!</definedName>
    <definedName name="timbunan" localSheetId="0">#REF!</definedName>
    <definedName name="timbunan" localSheetId="9">#REF!</definedName>
    <definedName name="timbunan">#REF!</definedName>
    <definedName name="timbunanpasir" localSheetId="1">[33]Analisis!#REF!</definedName>
    <definedName name="timbunanpasir" localSheetId="7">[34]Analisis!#REF!</definedName>
    <definedName name="timbunanpasir" localSheetId="8">[34]Analisis!#REF!</definedName>
    <definedName name="timbunanpasir" localSheetId="16">[34]Analisis!#REF!</definedName>
    <definedName name="timbunanpasir" localSheetId="0">[34]Analisis!#REF!</definedName>
    <definedName name="timbunanpasir" localSheetId="9">[34]Analisis!#REF!</definedName>
    <definedName name="timbunanpasir">[34]Analisis!#REF!</definedName>
    <definedName name="timbunantanah" localSheetId="1">[33]Analisis!#REF!</definedName>
    <definedName name="timbunantanah" localSheetId="7">[34]Analisis!#REF!</definedName>
    <definedName name="timbunantanah" localSheetId="8">[34]Analisis!#REF!</definedName>
    <definedName name="timbunantanah" localSheetId="16">[34]Analisis!#REF!</definedName>
    <definedName name="timbunantanah" localSheetId="0">[34]Analisis!#REF!</definedName>
    <definedName name="timbunantanah" localSheetId="9">[34]Analisis!#REF!</definedName>
    <definedName name="timbunantanah">[34]Analisis!#REF!</definedName>
    <definedName name="Tinner" localSheetId="7">'[18]harga lama'!#REF!</definedName>
    <definedName name="Tinner" localSheetId="8">'[18]harga lama'!#REF!</definedName>
    <definedName name="Tinner" localSheetId="16">'[18]harga lama'!#REF!</definedName>
    <definedName name="Tinner" localSheetId="9">'[18]harga lama'!#REF!</definedName>
    <definedName name="Tinner">'[18]harga lama'!#REF!</definedName>
    <definedName name="TIREROLLER" localSheetId="7">'[11]An. Alat'!#REF!</definedName>
    <definedName name="TIREROLLER" localSheetId="8">'[11]An. Alat'!#REF!</definedName>
    <definedName name="TIREROLLER" localSheetId="16">'[11]An. Alat'!#REF!</definedName>
    <definedName name="TIREROLLER" localSheetId="9">'[11]An. Alat'!#REF!</definedName>
    <definedName name="TIREROLLER">'[11]An. Alat'!#REF!</definedName>
    <definedName name="tkg" localSheetId="1">#REF!</definedName>
    <definedName name="tkg" localSheetId="7">#REF!</definedName>
    <definedName name="tkg" localSheetId="8">#REF!</definedName>
    <definedName name="tkg" localSheetId="16">#REF!</definedName>
    <definedName name="tkg" localSheetId="9">#REF!</definedName>
    <definedName name="tkg">#REF!</definedName>
    <definedName name="TOTAL1">'[8]1st'!$AU$12:$AU$503</definedName>
    <definedName name="tp" localSheetId="1">#REF!</definedName>
    <definedName name="tp" localSheetId="7">#REF!</definedName>
    <definedName name="tp" localSheetId="8">#REF!</definedName>
    <definedName name="tp" localSheetId="16">#REF!</definedName>
    <definedName name="tp" localSheetId="9">#REF!</definedName>
    <definedName name="tp">#REF!</definedName>
    <definedName name="TRACKLOADER">'[11]An. Alat'!$A$297:$J$355</definedName>
    <definedName name="TRAILLER" localSheetId="1">#REF!</definedName>
    <definedName name="TRAILLER" localSheetId="7">#REF!</definedName>
    <definedName name="TRAILLER" localSheetId="8">#REF!</definedName>
    <definedName name="TRAILLER" localSheetId="16">#REF!</definedName>
    <definedName name="TRAILLER" localSheetId="9">#REF!</definedName>
    <definedName name="TRAILLER">#REF!</definedName>
    <definedName name="traktor" localSheetId="1">#REF!</definedName>
    <definedName name="traktor" localSheetId="7">#REF!</definedName>
    <definedName name="traktor" localSheetId="8">#REF!</definedName>
    <definedName name="traktor" localSheetId="16">#REF!</definedName>
    <definedName name="traktor" localSheetId="0">#REF!</definedName>
    <definedName name="traktor" localSheetId="9">#REF!</definedName>
    <definedName name="traktor">#REF!</definedName>
    <definedName name="tranmisi" localSheetId="7">'[31]DU&amp;B'!#REF!</definedName>
    <definedName name="tranmisi" localSheetId="8">'[31]DU&amp;B'!#REF!</definedName>
    <definedName name="tranmisi" localSheetId="16">'[31]DU&amp;B'!#REF!</definedName>
    <definedName name="tranmisi" localSheetId="9">'[31]DU&amp;B'!#REF!</definedName>
    <definedName name="tranmisi">'[31]DU&amp;B'!#REF!</definedName>
    <definedName name="truck35ton" localSheetId="1">#REF!</definedName>
    <definedName name="truck35ton" localSheetId="7">#REF!</definedName>
    <definedName name="truck35ton" localSheetId="8">#REF!</definedName>
    <definedName name="truck35ton" localSheetId="16">#REF!</definedName>
    <definedName name="truck35ton" localSheetId="0">#REF!</definedName>
    <definedName name="truck35ton" localSheetId="9">#REF!</definedName>
    <definedName name="truck35ton">#REF!</definedName>
    <definedName name="trucktangki" localSheetId="7">#REF!</definedName>
    <definedName name="trucktangki" localSheetId="8">#REF!</definedName>
    <definedName name="trucktangki" localSheetId="16">#REF!</definedName>
    <definedName name="trucktangki" localSheetId="0">#REF!</definedName>
    <definedName name="trucktangki" localSheetId="9">#REF!</definedName>
    <definedName name="trucktangki">#REF!</definedName>
    <definedName name="tt" localSheetId="7">#REF!</definedName>
    <definedName name="tt" localSheetId="8">#REF!</definedName>
    <definedName name="tt" localSheetId="16">#REF!</definedName>
    <definedName name="tt" localSheetId="9">#REF!</definedName>
    <definedName name="tt">#REF!</definedName>
    <definedName name="ttim" localSheetId="7">'[45]DU&amp;B'!#REF!</definedName>
    <definedName name="ttim" localSheetId="8">'[45]DU&amp;B'!#REF!</definedName>
    <definedName name="ttim" localSheetId="16">'[45]DU&amp;B'!#REF!</definedName>
    <definedName name="ttim" localSheetId="9">'[45]DU&amp;B'!#REF!</definedName>
    <definedName name="ttim">'[45]DU&amp;B'!#REF!</definedName>
    <definedName name="tugboat" localSheetId="7">'[18]harga lama'!#REF!</definedName>
    <definedName name="tugboat" localSheetId="8">'[18]harga lama'!#REF!</definedName>
    <definedName name="tugboat" localSheetId="16">'[18]harga lama'!#REF!</definedName>
    <definedName name="tugboat" localSheetId="9">'[18]harga lama'!#REF!</definedName>
    <definedName name="tugboat">'[18]harga lama'!#REF!</definedName>
    <definedName name="Tukang" localSheetId="1">[43]rekap!$D$7</definedName>
    <definedName name="Tukang">[44]rekap!$D$7</definedName>
    <definedName name="TUKANG753" localSheetId="1">#REF!</definedName>
    <definedName name="TUKANG753" localSheetId="7">#REF!</definedName>
    <definedName name="TUKANG753" localSheetId="8">#REF!</definedName>
    <definedName name="TUKANG753" localSheetId="16">#REF!</definedName>
    <definedName name="TUKANG753" localSheetId="9">#REF!</definedName>
    <definedName name="TUKANG753">#REF!</definedName>
    <definedName name="Tukanglas" localSheetId="1">[29]cover!#REF!</definedName>
    <definedName name="Tukanglas" localSheetId="7">[30]cover!#REF!</definedName>
    <definedName name="Tukanglas" localSheetId="8">[30]cover!#REF!</definedName>
    <definedName name="Tukanglas" localSheetId="16">[30]cover!#REF!</definedName>
    <definedName name="Tukanglas" localSheetId="0">[30]cover!#REF!</definedName>
    <definedName name="Tukanglas" localSheetId="9">[30]cover!#REF!</definedName>
    <definedName name="Tukanglas">[30]cover!#REF!</definedName>
    <definedName name="tukng" localSheetId="1">#REF!</definedName>
    <definedName name="tukng" localSheetId="7">#REF!</definedName>
    <definedName name="tukng" localSheetId="8">#REF!</definedName>
    <definedName name="tukng" localSheetId="16">#REF!</definedName>
    <definedName name="tukng" localSheetId="9">#REF!</definedName>
    <definedName name="tukng">#REF!</definedName>
    <definedName name="tulangan" localSheetId="1">#REF!</definedName>
    <definedName name="tulangan" localSheetId="7">#REF!</definedName>
    <definedName name="tulangan" localSheetId="8">#REF!</definedName>
    <definedName name="tulangan" localSheetId="16">#REF!</definedName>
    <definedName name="tulangan" localSheetId="0">#REF!</definedName>
    <definedName name="tulangan" localSheetId="9">#REF!</definedName>
    <definedName name="tulangan">#REF!</definedName>
    <definedName name="tyeman">'[3]Upah&amp;Bahan'!$U$205</definedName>
    <definedName name="U" localSheetId="1">#REF!</definedName>
    <definedName name="U" localSheetId="7">#REF!</definedName>
    <definedName name="U" localSheetId="8">#REF!</definedName>
    <definedName name="U" localSheetId="16">#REF!</definedName>
    <definedName name="U" localSheetId="9">#REF!</definedName>
    <definedName name="U">#REF!</definedName>
    <definedName name="u.bekisting" localSheetId="7">#REF!</definedName>
    <definedName name="u.bekisting" localSheetId="8">#REF!</definedName>
    <definedName name="u.bekisting" localSheetId="16">#REF!</definedName>
    <definedName name="u.bekisting" localSheetId="9">#REF!</definedName>
    <definedName name="u.bekisting">#REF!</definedName>
    <definedName name="u.besi" localSheetId="7">#REF!</definedName>
    <definedName name="u.besi" localSheetId="8">#REF!</definedName>
    <definedName name="u.besi" localSheetId="16">#REF!</definedName>
    <definedName name="u.besi" localSheetId="9">#REF!</definedName>
    <definedName name="u.besi">#REF!</definedName>
    <definedName name="u.cor" localSheetId="7">#REF!</definedName>
    <definedName name="u.cor" localSheetId="8">#REF!</definedName>
    <definedName name="u.cor" localSheetId="16">#REF!</definedName>
    <definedName name="u.cor" localSheetId="9">#REF!</definedName>
    <definedName name="u.cor">#REF!</definedName>
    <definedName name="ubin30x30" localSheetId="1">[33]Analisis!#REF!</definedName>
    <definedName name="ubin30x30" localSheetId="7">[34]Analisis!#REF!</definedName>
    <definedName name="ubin30x30" localSheetId="8">[34]Analisis!#REF!</definedName>
    <definedName name="ubin30x30" localSheetId="16">[34]Analisis!#REF!</definedName>
    <definedName name="ubin30x30" localSheetId="0">[34]Analisis!#REF!</definedName>
    <definedName name="ubin30x30" localSheetId="9">[34]Analisis!#REF!</definedName>
    <definedName name="ubin30x30">[34]Analisis!#REF!</definedName>
    <definedName name="ubinkeramik" localSheetId="1">[33]Analisis!#REF!</definedName>
    <definedName name="ubinkeramik" localSheetId="7">[34]Analisis!#REF!</definedName>
    <definedName name="ubinkeramik" localSheetId="8">[34]Analisis!#REF!</definedName>
    <definedName name="ubinkeramik" localSheetId="16">[34]Analisis!#REF!</definedName>
    <definedName name="ubinkeramik" localSheetId="0">[34]Analisis!#REF!</definedName>
    <definedName name="ubinkeramik" localSheetId="9">[34]Analisis!#REF!</definedName>
    <definedName name="ubinkeramik">[34]Analisis!#REF!</definedName>
    <definedName name="UPAH">'[7]Basic Price'!$A$1:$G$17</definedName>
    <definedName name="upah_kpl_tukang" localSheetId="1">'[70]Daft Harg'!$D$7</definedName>
    <definedName name="upah_kpl_tukang">'[71]Daft Harg'!$D$7</definedName>
    <definedName name="upah_mandor" localSheetId="1">'[70]Daft Harg'!$D$9</definedName>
    <definedName name="upah_mandor">'[71]Daft Harg'!$D$9</definedName>
    <definedName name="upah_pekerja" localSheetId="1">'[70]Daft Harg'!$D$8</definedName>
    <definedName name="upah_pekerja">'[71]Daft Harg'!$D$8</definedName>
    <definedName name="upah_tukang" localSheetId="1">'[70]Daft Harg'!$D$6</definedName>
    <definedName name="upah_tukang">'[71]Daft Harg'!$D$6</definedName>
    <definedName name="upahpolos" localSheetId="1">#REF!</definedName>
    <definedName name="upahpolos" localSheetId="7">#REF!</definedName>
    <definedName name="upahpolos" localSheetId="8">#REF!</definedName>
    <definedName name="upahpolos" localSheetId="16">#REF!</definedName>
    <definedName name="upahpolos" localSheetId="0">#REF!</definedName>
    <definedName name="upahpolos" localSheetId="9">#REF!</definedName>
    <definedName name="upahpolos">#REF!</definedName>
    <definedName name="upahulir" localSheetId="7">#REF!</definedName>
    <definedName name="upahulir" localSheetId="8">#REF!</definedName>
    <definedName name="upahulir" localSheetId="16">#REF!</definedName>
    <definedName name="upahulir" localSheetId="0">#REF!</definedName>
    <definedName name="upahulir" localSheetId="9">#REF!</definedName>
    <definedName name="upahulir">#REF!</definedName>
    <definedName name="URAIAN" localSheetId="7">#REF!</definedName>
    <definedName name="URAIAN" localSheetId="8">#REF!</definedName>
    <definedName name="URAIAN" localSheetId="16">#REF!</definedName>
    <definedName name="URAIAN" localSheetId="9">#REF!</definedName>
    <definedName name="URAIAN">#REF!</definedName>
    <definedName name="URAIAN21" localSheetId="7">#REF!</definedName>
    <definedName name="URAIAN21" localSheetId="8">#REF!</definedName>
    <definedName name="URAIAN21" localSheetId="16">#REF!</definedName>
    <definedName name="URAIAN21" localSheetId="9">#REF!</definedName>
    <definedName name="URAIAN21">#REF!</definedName>
    <definedName name="URAIAN22E" localSheetId="7">#REF!</definedName>
    <definedName name="URAIAN22E" localSheetId="8">#REF!</definedName>
    <definedName name="URAIAN22E" localSheetId="16">#REF!</definedName>
    <definedName name="URAIAN22E" localSheetId="9">#REF!</definedName>
    <definedName name="URAIAN22E">#REF!</definedName>
    <definedName name="URAIAN22L" localSheetId="7">#REF!</definedName>
    <definedName name="URAIAN22L" localSheetId="8">#REF!</definedName>
    <definedName name="URAIAN22L" localSheetId="16">#REF!</definedName>
    <definedName name="URAIAN22L" localSheetId="9">#REF!</definedName>
    <definedName name="URAIAN22L">#REF!</definedName>
    <definedName name="URAIAN231" localSheetId="7">#REF!</definedName>
    <definedName name="URAIAN231" localSheetId="8">#REF!</definedName>
    <definedName name="URAIAN231" localSheetId="16">#REF!</definedName>
    <definedName name="URAIAN231" localSheetId="9">#REF!</definedName>
    <definedName name="URAIAN231">#REF!</definedName>
    <definedName name="URAIAN232" localSheetId="7">#REF!</definedName>
    <definedName name="URAIAN232" localSheetId="8">#REF!</definedName>
    <definedName name="URAIAN232" localSheetId="16">#REF!</definedName>
    <definedName name="URAIAN232" localSheetId="9">#REF!</definedName>
    <definedName name="URAIAN232">#REF!</definedName>
    <definedName name="URAIAN233" localSheetId="7">#REF!</definedName>
    <definedName name="URAIAN233" localSheetId="8">#REF!</definedName>
    <definedName name="URAIAN233" localSheetId="16">#REF!</definedName>
    <definedName name="URAIAN233" localSheetId="9">#REF!</definedName>
    <definedName name="URAIAN233">#REF!</definedName>
    <definedName name="Uraian234" localSheetId="7">#REF!</definedName>
    <definedName name="Uraian234" localSheetId="8">#REF!</definedName>
    <definedName name="Uraian234" localSheetId="16">#REF!</definedName>
    <definedName name="Uraian234" localSheetId="9">#REF!</definedName>
    <definedName name="Uraian234">#REF!</definedName>
    <definedName name="Uraian235" localSheetId="7">#REF!</definedName>
    <definedName name="Uraian235" localSheetId="8">#REF!</definedName>
    <definedName name="Uraian235" localSheetId="16">#REF!</definedName>
    <definedName name="Uraian235" localSheetId="9">#REF!</definedName>
    <definedName name="Uraian235">#REF!</definedName>
    <definedName name="Uraian236" localSheetId="7">#REF!</definedName>
    <definedName name="Uraian236" localSheetId="8">#REF!</definedName>
    <definedName name="Uraian236" localSheetId="16">#REF!</definedName>
    <definedName name="Uraian236" localSheetId="9">#REF!</definedName>
    <definedName name="Uraian236">#REF!</definedName>
    <definedName name="URAIAN241" localSheetId="7">#REF!</definedName>
    <definedName name="URAIAN241" localSheetId="8">#REF!</definedName>
    <definedName name="URAIAN241" localSheetId="16">#REF!</definedName>
    <definedName name="URAIAN241" localSheetId="9">#REF!</definedName>
    <definedName name="URAIAN241">#REF!</definedName>
    <definedName name="URAIAN242" localSheetId="7">#REF!</definedName>
    <definedName name="URAIAN242" localSheetId="8">#REF!</definedName>
    <definedName name="URAIAN242" localSheetId="16">#REF!</definedName>
    <definedName name="URAIAN242" localSheetId="9">#REF!</definedName>
    <definedName name="URAIAN242">#REF!</definedName>
    <definedName name="URAIAN243" localSheetId="7">#REF!</definedName>
    <definedName name="URAIAN243" localSheetId="8">#REF!</definedName>
    <definedName name="URAIAN243" localSheetId="16">#REF!</definedName>
    <definedName name="URAIAN243" localSheetId="9">#REF!</definedName>
    <definedName name="URAIAN243">#REF!</definedName>
    <definedName name="Uraian311" localSheetId="7">'[7]DIV.3 NP'!#REF!</definedName>
    <definedName name="Uraian311" localSheetId="8">'[7]DIV.3 NP'!#REF!</definedName>
    <definedName name="Uraian311" localSheetId="16">'[7]DIV.3 NP'!#REF!</definedName>
    <definedName name="Uraian311" localSheetId="9">'[7]DIV.3 NP'!#REF!</definedName>
    <definedName name="Uraian311">'[7]DIV.3 NP'!#REF!</definedName>
    <definedName name="Uraian312" localSheetId="7">'[7]DIV.3 NP'!#REF!</definedName>
    <definedName name="Uraian312" localSheetId="8">'[7]DIV.3 NP'!#REF!</definedName>
    <definedName name="Uraian312" localSheetId="16">'[7]DIV.3 NP'!#REF!</definedName>
    <definedName name="Uraian312" localSheetId="9">'[7]DIV.3 NP'!#REF!</definedName>
    <definedName name="Uraian312">'[7]DIV.3 NP'!#REF!</definedName>
    <definedName name="Uraian313" localSheetId="7">'[7]DIV.3 NP'!#REF!</definedName>
    <definedName name="Uraian313" localSheetId="8">'[7]DIV.3 NP'!#REF!</definedName>
    <definedName name="Uraian313" localSheetId="16">'[7]DIV.3 NP'!#REF!</definedName>
    <definedName name="Uraian313" localSheetId="9">'[7]DIV.3 NP'!#REF!</definedName>
    <definedName name="Uraian313">'[7]DIV.3 NP'!#REF!</definedName>
    <definedName name="Uraian314" localSheetId="7">'[7]DIV.3 NP'!#REF!</definedName>
    <definedName name="Uraian314" localSheetId="8">'[7]DIV.3 NP'!#REF!</definedName>
    <definedName name="Uraian314" localSheetId="16">'[7]DIV.3 NP'!#REF!</definedName>
    <definedName name="Uraian314" localSheetId="9">'[7]DIV.3 NP'!#REF!</definedName>
    <definedName name="Uraian314">'[7]DIV.3 NP'!#REF!</definedName>
    <definedName name="Uraian315" localSheetId="7">'[7]DIV.3 NP'!#REF!</definedName>
    <definedName name="Uraian315" localSheetId="8">'[7]DIV.3 NP'!#REF!</definedName>
    <definedName name="Uraian315" localSheetId="16">'[7]DIV.3 NP'!#REF!</definedName>
    <definedName name="Uraian315" localSheetId="9">'[7]DIV.3 NP'!#REF!</definedName>
    <definedName name="Uraian315">'[7]DIV.3 NP'!#REF!</definedName>
    <definedName name="Uraian319" localSheetId="7">'[7]DIV.3 NP'!#REF!</definedName>
    <definedName name="Uraian319" localSheetId="8">'[7]DIV.3 NP'!#REF!</definedName>
    <definedName name="Uraian319" localSheetId="16">'[7]DIV.3 NP'!#REF!</definedName>
    <definedName name="Uraian319" localSheetId="9">'[7]DIV.3 NP'!#REF!</definedName>
    <definedName name="Uraian319">'[7]DIV.3 NP'!#REF!</definedName>
    <definedName name="Uraian322" localSheetId="7">'[7]DIV.3 NP'!#REF!</definedName>
    <definedName name="Uraian322" localSheetId="8">'[7]DIV.3 NP'!#REF!</definedName>
    <definedName name="Uraian322" localSheetId="16">'[7]DIV.3 NP'!#REF!</definedName>
    <definedName name="Uraian322" localSheetId="9">'[7]DIV.3 NP'!#REF!</definedName>
    <definedName name="Uraian322">'[7]DIV.3 NP'!#REF!</definedName>
    <definedName name="URAIAN323" localSheetId="1">#REF!</definedName>
    <definedName name="URAIAN323" localSheetId="7">#REF!</definedName>
    <definedName name="URAIAN323" localSheetId="8">#REF!</definedName>
    <definedName name="URAIAN323" localSheetId="16">#REF!</definedName>
    <definedName name="URAIAN323" localSheetId="9">#REF!</definedName>
    <definedName name="URAIAN323">#REF!</definedName>
    <definedName name="URAIAN323L" localSheetId="7">#REF!</definedName>
    <definedName name="URAIAN323L" localSheetId="8">#REF!</definedName>
    <definedName name="URAIAN323L" localSheetId="16">#REF!</definedName>
    <definedName name="URAIAN323L" localSheetId="9">#REF!</definedName>
    <definedName name="URAIAN323L">#REF!</definedName>
    <definedName name="Uraian324" localSheetId="7">'[7]DIV.3 NP'!#REF!</definedName>
    <definedName name="Uraian324" localSheetId="8">'[7]DIV.3 NP'!#REF!</definedName>
    <definedName name="Uraian324" localSheetId="16">'[7]DIV.3 NP'!#REF!</definedName>
    <definedName name="Uraian324" localSheetId="9">'[7]DIV.3 NP'!#REF!</definedName>
    <definedName name="Uraian324">'[7]DIV.3 NP'!#REF!</definedName>
    <definedName name="Uraian331" localSheetId="7">'[7]DIV.3 NP'!#REF!</definedName>
    <definedName name="Uraian331" localSheetId="8">'[7]DIV.3 NP'!#REF!</definedName>
    <definedName name="Uraian331" localSheetId="16">'[7]DIV.3 NP'!#REF!</definedName>
    <definedName name="Uraian331" localSheetId="9">'[7]DIV.3 NP'!#REF!</definedName>
    <definedName name="Uraian331">'[7]DIV.3 NP'!#REF!</definedName>
    <definedName name="Uraian346" localSheetId="7">'[7]DIV.3 NP'!#REF!</definedName>
    <definedName name="Uraian346" localSheetId="8">'[7]DIV.3 NP'!#REF!</definedName>
    <definedName name="Uraian346" localSheetId="16">'[7]DIV.3 NP'!#REF!</definedName>
    <definedName name="Uraian346" localSheetId="9">'[7]DIV.3 NP'!#REF!</definedName>
    <definedName name="Uraian346">'[7]DIV.3 NP'!#REF!</definedName>
    <definedName name="URAIAN421" localSheetId="7">'[7]DIV.4 NP'!#REF!</definedName>
    <definedName name="URAIAN421" localSheetId="8">'[7]DIV.4 NP'!#REF!</definedName>
    <definedName name="URAIAN421" localSheetId="16">'[7]DIV.4 NP'!#REF!</definedName>
    <definedName name="URAIAN421" localSheetId="9">'[7]DIV.4 NP'!#REF!</definedName>
    <definedName name="URAIAN421">'[7]DIV.4 NP'!#REF!</definedName>
    <definedName name="URAIAN422" localSheetId="7">'[7]DIV.4 NP'!#REF!</definedName>
    <definedName name="URAIAN422" localSheetId="8">'[7]DIV.4 NP'!#REF!</definedName>
    <definedName name="URAIAN422" localSheetId="16">'[7]DIV.4 NP'!#REF!</definedName>
    <definedName name="URAIAN422" localSheetId="9">'[7]DIV.4 NP'!#REF!</definedName>
    <definedName name="URAIAN422">'[7]DIV.4 NP'!#REF!</definedName>
    <definedName name="URAIAN423" localSheetId="7">'[7]DIV.4 NP'!#REF!</definedName>
    <definedName name="URAIAN423" localSheetId="8">'[7]DIV.4 NP'!#REF!</definedName>
    <definedName name="URAIAN423" localSheetId="16">'[7]DIV.4 NP'!#REF!</definedName>
    <definedName name="URAIAN423" localSheetId="9">'[7]DIV.4 NP'!#REF!</definedName>
    <definedName name="URAIAN423">'[7]DIV.4 NP'!#REF!</definedName>
    <definedName name="URAIAN424" localSheetId="7">'[7]DIV.4 NP'!#REF!</definedName>
    <definedName name="URAIAN424" localSheetId="8">'[7]DIV.4 NP'!#REF!</definedName>
    <definedName name="URAIAN424" localSheetId="16">'[7]DIV.4 NP'!#REF!</definedName>
    <definedName name="URAIAN424" localSheetId="9">'[7]DIV.4 NP'!#REF!</definedName>
    <definedName name="URAIAN424">'[7]DIV.4 NP'!#REF!</definedName>
    <definedName name="URAIAN425" localSheetId="7">'[7]DIV.4 NP'!#REF!</definedName>
    <definedName name="URAIAN425" localSheetId="8">'[7]DIV.4 NP'!#REF!</definedName>
    <definedName name="URAIAN425" localSheetId="16">'[7]DIV.4 NP'!#REF!</definedName>
    <definedName name="URAIAN425" localSheetId="9">'[7]DIV.4 NP'!#REF!</definedName>
    <definedName name="URAIAN425">'[7]DIV.4 NP'!#REF!</definedName>
    <definedName name="URAIAN426" localSheetId="7">'[7]DIV.4 NP'!#REF!</definedName>
    <definedName name="URAIAN426" localSheetId="8">'[7]DIV.4 NP'!#REF!</definedName>
    <definedName name="URAIAN426" localSheetId="16">'[7]DIV.4 NP'!#REF!</definedName>
    <definedName name="URAIAN426" localSheetId="9">'[7]DIV.4 NP'!#REF!</definedName>
    <definedName name="URAIAN426">'[7]DIV.4 NP'!#REF!</definedName>
    <definedName name="URAIAN427" localSheetId="7">'[7]DIV.4 NP'!#REF!</definedName>
    <definedName name="URAIAN427" localSheetId="8">'[7]DIV.4 NP'!#REF!</definedName>
    <definedName name="URAIAN427" localSheetId="16">'[7]DIV.4 NP'!#REF!</definedName>
    <definedName name="URAIAN427" localSheetId="9">'[7]DIV.4 NP'!#REF!</definedName>
    <definedName name="URAIAN427">'[7]DIV.4 NP'!#REF!</definedName>
    <definedName name="URAIAN511" localSheetId="7">'[7]DIV.5 NP'!#REF!</definedName>
    <definedName name="URAIAN511" localSheetId="8">'[7]DIV.5 NP'!#REF!</definedName>
    <definedName name="URAIAN511" localSheetId="16">'[7]DIV.5 NP'!#REF!</definedName>
    <definedName name="URAIAN511" localSheetId="9">'[7]DIV.5 NP'!#REF!</definedName>
    <definedName name="URAIAN511">'[7]DIV.5 NP'!#REF!</definedName>
    <definedName name="URAIAN512" localSheetId="7">'[7]DIV.5 NP'!#REF!</definedName>
    <definedName name="URAIAN512" localSheetId="8">'[7]DIV.5 NP'!#REF!</definedName>
    <definedName name="URAIAN512" localSheetId="16">'[7]DIV.5 NP'!#REF!</definedName>
    <definedName name="URAIAN512" localSheetId="9">'[7]DIV.5 NP'!#REF!</definedName>
    <definedName name="URAIAN512">'[7]DIV.5 NP'!#REF!</definedName>
    <definedName name="URAIAN521" localSheetId="7">'[7]DIV.5 NP'!#REF!</definedName>
    <definedName name="URAIAN521" localSheetId="8">'[7]DIV.5 NP'!#REF!</definedName>
    <definedName name="URAIAN521" localSheetId="16">'[7]DIV.5 NP'!#REF!</definedName>
    <definedName name="URAIAN521" localSheetId="9">'[7]DIV.5 NP'!#REF!</definedName>
    <definedName name="URAIAN521">'[7]DIV.5 NP'!#REF!</definedName>
    <definedName name="URAIAN522" localSheetId="7">'[7]DIV.5 NP'!#REF!</definedName>
    <definedName name="URAIAN522" localSheetId="8">'[7]DIV.5 NP'!#REF!</definedName>
    <definedName name="URAIAN522" localSheetId="16">'[7]DIV.5 NP'!#REF!</definedName>
    <definedName name="URAIAN522" localSheetId="9">'[7]DIV.5 NP'!#REF!</definedName>
    <definedName name="URAIAN522">'[7]DIV.5 NP'!#REF!</definedName>
    <definedName name="URAIAN541" localSheetId="7">'[7]DIV.5 NP'!#REF!</definedName>
    <definedName name="URAIAN541" localSheetId="8">'[7]DIV.5 NP'!#REF!</definedName>
    <definedName name="URAIAN541" localSheetId="16">'[7]DIV.5 NP'!#REF!</definedName>
    <definedName name="URAIAN541" localSheetId="9">'[7]DIV.5 NP'!#REF!</definedName>
    <definedName name="URAIAN541">'[7]DIV.5 NP'!#REF!</definedName>
    <definedName name="URAIAN542" localSheetId="7">'[7]DIV.5 NP'!#REF!</definedName>
    <definedName name="URAIAN542" localSheetId="8">'[7]DIV.5 NP'!#REF!</definedName>
    <definedName name="URAIAN542" localSheetId="16">'[7]DIV.5 NP'!#REF!</definedName>
    <definedName name="URAIAN542" localSheetId="9">'[7]DIV.5 NP'!#REF!</definedName>
    <definedName name="URAIAN542">'[7]DIV.5 NP'!#REF!</definedName>
    <definedName name="URAIAN611" localSheetId="7">'[7]DIV.6 NP'!#REF!</definedName>
    <definedName name="URAIAN611" localSheetId="8">'[7]DIV.6 NP'!#REF!</definedName>
    <definedName name="URAIAN611" localSheetId="16">'[7]DIV.6 NP'!#REF!</definedName>
    <definedName name="URAIAN611" localSheetId="9">'[7]DIV.6 NP'!#REF!</definedName>
    <definedName name="URAIAN611">'[7]DIV.6 NP'!#REF!</definedName>
    <definedName name="URAIAN612" localSheetId="7">'[7]DIV.6 NP'!#REF!</definedName>
    <definedName name="URAIAN612" localSheetId="8">'[7]DIV.6 NP'!#REF!</definedName>
    <definedName name="URAIAN612" localSheetId="16">'[7]DIV.6 NP'!#REF!</definedName>
    <definedName name="URAIAN612" localSheetId="9">'[7]DIV.6 NP'!#REF!</definedName>
    <definedName name="URAIAN612">'[7]DIV.6 NP'!#REF!</definedName>
    <definedName name="URAIAN621" localSheetId="7">'[7]DIV.6 NP'!#REF!</definedName>
    <definedName name="URAIAN621" localSheetId="8">'[7]DIV.6 NP'!#REF!</definedName>
    <definedName name="URAIAN621" localSheetId="16">'[7]DIV.6 NP'!#REF!</definedName>
    <definedName name="URAIAN621" localSheetId="9">'[7]DIV.6 NP'!#REF!</definedName>
    <definedName name="URAIAN621">'[7]DIV.6 NP'!#REF!</definedName>
    <definedName name="URAIAN622" localSheetId="7">'[7]DIV.6 NP'!#REF!</definedName>
    <definedName name="URAIAN622" localSheetId="8">'[7]DIV.6 NP'!#REF!</definedName>
    <definedName name="URAIAN622" localSheetId="16">'[7]DIV.6 NP'!#REF!</definedName>
    <definedName name="URAIAN622" localSheetId="9">'[7]DIV.6 NP'!#REF!</definedName>
    <definedName name="URAIAN622">'[7]DIV.6 NP'!#REF!</definedName>
    <definedName name="URAIAN623" localSheetId="7">'[7]DIV.6 NP'!#REF!</definedName>
    <definedName name="URAIAN623" localSheetId="8">'[7]DIV.6 NP'!#REF!</definedName>
    <definedName name="URAIAN623" localSheetId="16">'[7]DIV.6 NP'!#REF!</definedName>
    <definedName name="URAIAN623" localSheetId="9">'[7]DIV.6 NP'!#REF!</definedName>
    <definedName name="URAIAN623">'[7]DIV.6 NP'!#REF!</definedName>
    <definedName name="URAIAN631" localSheetId="7">'[7]DIV.6 NP'!#REF!</definedName>
    <definedName name="URAIAN631" localSheetId="8">'[7]DIV.6 NP'!#REF!</definedName>
    <definedName name="URAIAN631" localSheetId="16">'[7]DIV.6 NP'!#REF!</definedName>
    <definedName name="URAIAN631" localSheetId="9">'[7]DIV.6 NP'!#REF!</definedName>
    <definedName name="URAIAN631">'[7]DIV.6 NP'!#REF!</definedName>
    <definedName name="URAIAN632" localSheetId="7">'[7]DIV.6 NP'!#REF!</definedName>
    <definedName name="URAIAN632" localSheetId="8">'[7]DIV.6 NP'!#REF!</definedName>
    <definedName name="URAIAN632" localSheetId="16">'[7]DIV.6 NP'!#REF!</definedName>
    <definedName name="URAIAN632" localSheetId="9">'[7]DIV.6 NP'!#REF!</definedName>
    <definedName name="URAIAN632">'[7]DIV.6 NP'!#REF!</definedName>
    <definedName name="URAIAN633" localSheetId="7">'[7]DIV.6 NP'!#REF!</definedName>
    <definedName name="URAIAN633" localSheetId="8">'[7]DIV.6 NP'!#REF!</definedName>
    <definedName name="URAIAN633" localSheetId="16">'[7]DIV.6 NP'!#REF!</definedName>
    <definedName name="URAIAN633" localSheetId="9">'[7]DIV.6 NP'!#REF!</definedName>
    <definedName name="URAIAN633">'[7]DIV.6 NP'!#REF!</definedName>
    <definedName name="URAIAN634" localSheetId="7">'[7]DIV.6 NP'!#REF!</definedName>
    <definedName name="URAIAN634" localSheetId="8">'[7]DIV.6 NP'!#REF!</definedName>
    <definedName name="URAIAN634" localSheetId="16">'[7]DIV.6 NP'!#REF!</definedName>
    <definedName name="URAIAN634" localSheetId="9">'[7]DIV.6 NP'!#REF!</definedName>
    <definedName name="URAIAN634">'[7]DIV.6 NP'!#REF!</definedName>
    <definedName name="URAIAN635" localSheetId="7">'[7]DIV.6 NP'!#REF!</definedName>
    <definedName name="URAIAN635" localSheetId="8">'[7]DIV.6 NP'!#REF!</definedName>
    <definedName name="URAIAN635" localSheetId="16">'[7]DIV.6 NP'!#REF!</definedName>
    <definedName name="URAIAN635" localSheetId="9">'[7]DIV.6 NP'!#REF!</definedName>
    <definedName name="URAIAN635">'[7]DIV.6 NP'!#REF!</definedName>
    <definedName name="URAIAN635A" localSheetId="7">'[7]DIV.6 NP'!#REF!</definedName>
    <definedName name="URAIAN635A" localSheetId="8">'[7]DIV.6 NP'!#REF!</definedName>
    <definedName name="URAIAN635A" localSheetId="16">'[7]DIV.6 NP'!#REF!</definedName>
    <definedName name="URAIAN635A" localSheetId="9">'[7]DIV.6 NP'!#REF!</definedName>
    <definedName name="URAIAN635A">'[7]DIV.6 NP'!#REF!</definedName>
    <definedName name="URAIAN636" localSheetId="7">'[7]DIV.6 NP'!#REF!</definedName>
    <definedName name="URAIAN636" localSheetId="8">'[7]DIV.6 NP'!#REF!</definedName>
    <definedName name="URAIAN636" localSheetId="16">'[7]DIV.6 NP'!#REF!</definedName>
    <definedName name="URAIAN636" localSheetId="9">'[7]DIV.6 NP'!#REF!</definedName>
    <definedName name="URAIAN636">'[7]DIV.6 NP'!#REF!</definedName>
    <definedName name="URAIAN641L" localSheetId="1">#REF!</definedName>
    <definedName name="URAIAN641L" localSheetId="7">#REF!</definedName>
    <definedName name="URAIAN641L" localSheetId="8">#REF!</definedName>
    <definedName name="URAIAN641L" localSheetId="16">#REF!</definedName>
    <definedName name="URAIAN641L" localSheetId="9">#REF!</definedName>
    <definedName name="URAIAN641L">#REF!</definedName>
    <definedName name="URAIAN642" localSheetId="7">#REF!</definedName>
    <definedName name="URAIAN642" localSheetId="8">#REF!</definedName>
    <definedName name="URAIAN642" localSheetId="16">#REF!</definedName>
    <definedName name="URAIAN642" localSheetId="9">#REF!</definedName>
    <definedName name="URAIAN642">#REF!</definedName>
    <definedName name="URAIAN65" localSheetId="7">'[7]DIV.6 NP'!#REF!</definedName>
    <definedName name="URAIAN65" localSheetId="8">'[7]DIV.6 NP'!#REF!</definedName>
    <definedName name="URAIAN65" localSheetId="16">'[7]DIV.6 NP'!#REF!</definedName>
    <definedName name="URAIAN65" localSheetId="9">'[7]DIV.6 NP'!#REF!</definedName>
    <definedName name="URAIAN65">'[7]DIV.6 NP'!#REF!</definedName>
    <definedName name="URAIAN66PERATA" localSheetId="7">'[7]DIV.6 NP'!#REF!</definedName>
    <definedName name="URAIAN66PERATA" localSheetId="8">'[7]DIV.6 NP'!#REF!</definedName>
    <definedName name="URAIAN66PERATA" localSheetId="16">'[7]DIV.6 NP'!#REF!</definedName>
    <definedName name="URAIAN66PERATA" localSheetId="9">'[7]DIV.6 NP'!#REF!</definedName>
    <definedName name="URAIAN66PERATA">'[7]DIV.6 NP'!#REF!</definedName>
    <definedName name="URAIAN66PERMUKAAN" localSheetId="7">'[7]DIV.6 NP'!#REF!</definedName>
    <definedName name="URAIAN66PERMUKAAN" localSheetId="8">'[7]DIV.6 NP'!#REF!</definedName>
    <definedName name="URAIAN66PERMUKAAN" localSheetId="16">'[7]DIV.6 NP'!#REF!</definedName>
    <definedName name="URAIAN66PERMUKAAN" localSheetId="9">'[7]DIV.6 NP'!#REF!</definedName>
    <definedName name="URAIAN66PERMUKAAN">'[7]DIV.6 NP'!#REF!</definedName>
    <definedName name="URAIAN7101">[11]NP!$A$1203:$J$1322</definedName>
    <definedName name="URAIAN7102">[11]NP!$A$1323:$J$1383</definedName>
    <definedName name="URAIAN7103">[11]NP!$A$1384:$J$1503</definedName>
    <definedName name="URAIAN711" localSheetId="4">'[7]DIV. 6 - 7'!#REF!</definedName>
    <definedName name="URAIAN711" localSheetId="1">'[7]DIV. 6 - 7'!#REF!</definedName>
    <definedName name="URAIAN711" localSheetId="7">'[7]DIV. 6 - 7'!#REF!</definedName>
    <definedName name="URAIAN711" localSheetId="8">'[7]DIV. 6 - 7'!#REF!</definedName>
    <definedName name="URAIAN711" localSheetId="16">'[7]DIV. 6 - 7'!#REF!</definedName>
    <definedName name="URAIAN711" localSheetId="9">'[7]DIV. 6 - 7'!#REF!</definedName>
    <definedName name="URAIAN711">'[7]DIV. 6 - 7'!#REF!</definedName>
    <definedName name="URAIAN712" localSheetId="1">[11]NP!#REF!</definedName>
    <definedName name="URAIAN712" localSheetId="7">[11]NP!#REF!</definedName>
    <definedName name="URAIAN712" localSheetId="8">[11]NP!#REF!</definedName>
    <definedName name="URAIAN712" localSheetId="16">[11]NP!#REF!</definedName>
    <definedName name="URAIAN712" localSheetId="9">[11]NP!#REF!</definedName>
    <definedName name="URAIAN712">[11]NP!#REF!</definedName>
    <definedName name="URAIAN713" localSheetId="7">[11]NP!#REF!</definedName>
    <definedName name="URAIAN713" localSheetId="8">[11]NP!#REF!</definedName>
    <definedName name="URAIAN713" localSheetId="16">[11]NP!#REF!</definedName>
    <definedName name="URAIAN713" localSheetId="9">[11]NP!#REF!</definedName>
    <definedName name="URAIAN713">[11]NP!#REF!</definedName>
    <definedName name="URAIAN714" localSheetId="7">'[7]DIV. 6 - 7'!#REF!</definedName>
    <definedName name="URAIAN714" localSheetId="8">'[7]DIV. 6 - 7'!#REF!</definedName>
    <definedName name="URAIAN714" localSheetId="16">'[7]DIV. 6 - 7'!#REF!</definedName>
    <definedName name="URAIAN714" localSheetId="9">'[7]DIV. 6 - 7'!#REF!</definedName>
    <definedName name="URAIAN714">'[7]DIV. 6 - 7'!#REF!</definedName>
    <definedName name="URAIAN715" localSheetId="7">[11]NP!#REF!</definedName>
    <definedName name="URAIAN715" localSheetId="8">[11]NP!#REF!</definedName>
    <definedName name="URAIAN715" localSheetId="16">[11]NP!#REF!</definedName>
    <definedName name="URAIAN715" localSheetId="9">[11]NP!#REF!</definedName>
    <definedName name="URAIAN715">[11]NP!#REF!</definedName>
    <definedName name="URAIAN716" localSheetId="7">[11]NP!#REF!</definedName>
    <definedName name="URAIAN716" localSheetId="8">[11]NP!#REF!</definedName>
    <definedName name="URAIAN716" localSheetId="16">[11]NP!#REF!</definedName>
    <definedName name="URAIAN716" localSheetId="9">[11]NP!#REF!</definedName>
    <definedName name="URAIAN716">[11]NP!#REF!</definedName>
    <definedName name="URAIAN717" localSheetId="7">[11]NP!#REF!</definedName>
    <definedName name="URAIAN717" localSheetId="8">[11]NP!#REF!</definedName>
    <definedName name="URAIAN717" localSheetId="16">[11]NP!#REF!</definedName>
    <definedName name="URAIAN717" localSheetId="9">[11]NP!#REF!</definedName>
    <definedName name="URAIAN717">[11]NP!#REF!</definedName>
    <definedName name="URAIAN718" localSheetId="7">[11]NP!#REF!</definedName>
    <definedName name="URAIAN718" localSheetId="8">[11]NP!#REF!</definedName>
    <definedName name="URAIAN718" localSheetId="16">[11]NP!#REF!</definedName>
    <definedName name="URAIAN718" localSheetId="9">[11]NP!#REF!</definedName>
    <definedName name="URAIAN718">[11]NP!#REF!</definedName>
    <definedName name="URAIAN721" localSheetId="7">'[7]DIV. 6 - 7'!#REF!</definedName>
    <definedName name="URAIAN721" localSheetId="8">'[7]DIV. 6 - 7'!#REF!</definedName>
    <definedName name="URAIAN721" localSheetId="16">'[7]DIV. 6 - 7'!#REF!</definedName>
    <definedName name="URAIAN721" localSheetId="9">'[7]DIV. 6 - 7'!#REF!</definedName>
    <definedName name="URAIAN721">'[7]DIV. 6 - 7'!#REF!</definedName>
    <definedName name="URAIAN731" localSheetId="7">'[7]DIV. 6 - 7'!#REF!</definedName>
    <definedName name="URAIAN731" localSheetId="8">'[7]DIV. 6 - 7'!#REF!</definedName>
    <definedName name="URAIAN731" localSheetId="16">'[7]DIV. 6 - 7'!#REF!</definedName>
    <definedName name="URAIAN731" localSheetId="9">'[7]DIV. 6 - 7'!#REF!</definedName>
    <definedName name="URAIAN731">'[7]DIV. 6 - 7'!#REF!</definedName>
    <definedName name="URAIAN732" localSheetId="7">'[7]DIV. 6 - 7'!#REF!</definedName>
    <definedName name="URAIAN732" localSheetId="8">'[7]DIV. 6 - 7'!#REF!</definedName>
    <definedName name="URAIAN732" localSheetId="16">'[7]DIV. 6 - 7'!#REF!</definedName>
    <definedName name="URAIAN732" localSheetId="9">'[7]DIV. 6 - 7'!#REF!</definedName>
    <definedName name="URAIAN732">'[7]DIV. 6 - 7'!#REF!</definedName>
    <definedName name="URAIAN733" localSheetId="7">'[7]DIV. 6 - 7'!#REF!</definedName>
    <definedName name="URAIAN733" localSheetId="8">'[7]DIV. 6 - 7'!#REF!</definedName>
    <definedName name="URAIAN733" localSheetId="16">'[7]DIV. 6 - 7'!#REF!</definedName>
    <definedName name="URAIAN733" localSheetId="9">'[7]DIV. 6 - 7'!#REF!</definedName>
    <definedName name="URAIAN733">'[7]DIV. 6 - 7'!#REF!</definedName>
    <definedName name="URAIAN734" localSheetId="7">'[7]DIV. 6 - 7'!#REF!</definedName>
    <definedName name="URAIAN734" localSheetId="8">'[7]DIV. 6 - 7'!#REF!</definedName>
    <definedName name="URAIAN734" localSheetId="16">'[7]DIV. 6 - 7'!#REF!</definedName>
    <definedName name="URAIAN734" localSheetId="9">'[7]DIV. 6 - 7'!#REF!</definedName>
    <definedName name="URAIAN734">'[7]DIV. 6 - 7'!#REF!</definedName>
    <definedName name="URAIAN735" localSheetId="7">'[7]DIV. 6 - 7'!#REF!</definedName>
    <definedName name="URAIAN735" localSheetId="8">'[7]DIV. 6 - 7'!#REF!</definedName>
    <definedName name="URAIAN735" localSheetId="16">'[7]DIV. 6 - 7'!#REF!</definedName>
    <definedName name="URAIAN735" localSheetId="9">'[7]DIV. 6 - 7'!#REF!</definedName>
    <definedName name="URAIAN735">'[7]DIV. 6 - 7'!#REF!</definedName>
    <definedName name="URAIAN744" localSheetId="7">[11]NP!#REF!</definedName>
    <definedName name="URAIAN744" localSheetId="8">[11]NP!#REF!</definedName>
    <definedName name="URAIAN744" localSheetId="16">[11]NP!#REF!</definedName>
    <definedName name="URAIAN744" localSheetId="9">[11]NP!#REF!</definedName>
    <definedName name="URAIAN744">[11]NP!#REF!</definedName>
    <definedName name="URAIAN745">[11]NP!$A$1:$J$1</definedName>
    <definedName name="URAIAN7610">[11]NP!$A$241:$J$361</definedName>
    <definedName name="URAIAN7612a">[11]NP!$A$482:$J$601</definedName>
    <definedName name="URAIAN7612b" localSheetId="4">[11]NP!#REF!</definedName>
    <definedName name="URAIAN7612b" localSheetId="1">[11]NP!#REF!</definedName>
    <definedName name="URAIAN7612b" localSheetId="7">[11]NP!#REF!</definedName>
    <definedName name="URAIAN7612b" localSheetId="8">[11]NP!#REF!</definedName>
    <definedName name="URAIAN7612b" localSheetId="16">[11]NP!#REF!</definedName>
    <definedName name="URAIAN7612b" localSheetId="9">[11]NP!#REF!</definedName>
    <definedName name="URAIAN7612b">[11]NP!#REF!</definedName>
    <definedName name="URAIAN7612c" localSheetId="1">[11]NP!#REF!</definedName>
    <definedName name="URAIAN7612c" localSheetId="7">[11]NP!#REF!</definedName>
    <definedName name="URAIAN7612c" localSheetId="8">[11]NP!#REF!</definedName>
    <definedName name="URAIAN7612c" localSheetId="16">[11]NP!#REF!</definedName>
    <definedName name="URAIAN7612c" localSheetId="9">[11]NP!#REF!</definedName>
    <definedName name="URAIAN7612c">[11]NP!#REF!</definedName>
    <definedName name="URAIAN7613a">[11]NP!$A$362:$J$481</definedName>
    <definedName name="URAIAN7613b" localSheetId="4">[11]NP!#REF!</definedName>
    <definedName name="URAIAN7613b" localSheetId="1">[11]NP!#REF!</definedName>
    <definedName name="URAIAN7613b" localSheetId="7">[11]NP!#REF!</definedName>
    <definedName name="URAIAN7613b" localSheetId="8">[11]NP!#REF!</definedName>
    <definedName name="URAIAN7613b" localSheetId="16">[11]NP!#REF!</definedName>
    <definedName name="URAIAN7613b" localSheetId="9">[11]NP!#REF!</definedName>
    <definedName name="URAIAN7613b">[11]NP!#REF!</definedName>
    <definedName name="URAIAN7613c" localSheetId="1">[11]NP!#REF!</definedName>
    <definedName name="URAIAN7613c" localSheetId="7">[11]NP!#REF!</definedName>
    <definedName name="URAIAN7613c" localSheetId="8">[11]NP!#REF!</definedName>
    <definedName name="URAIAN7613c" localSheetId="16">[11]NP!#REF!</definedName>
    <definedName name="URAIAN7613c" localSheetId="9">[11]NP!#REF!</definedName>
    <definedName name="URAIAN7613c">[11]NP!#REF!</definedName>
    <definedName name="URAIAN7614a" localSheetId="7">[11]NP!#REF!</definedName>
    <definedName name="URAIAN7614a" localSheetId="8">[11]NP!#REF!</definedName>
    <definedName name="URAIAN7614a" localSheetId="16">[11]NP!#REF!</definedName>
    <definedName name="URAIAN7614a" localSheetId="9">[11]NP!#REF!</definedName>
    <definedName name="URAIAN7614a">[11]NP!#REF!</definedName>
    <definedName name="URAIAN7614b" localSheetId="7">[11]NP!#REF!</definedName>
    <definedName name="URAIAN7614b" localSheetId="8">[11]NP!#REF!</definedName>
    <definedName name="URAIAN7614b" localSheetId="16">[11]NP!#REF!</definedName>
    <definedName name="URAIAN7614b" localSheetId="9">[11]NP!#REF!</definedName>
    <definedName name="URAIAN7614b">[11]NP!#REF!</definedName>
    <definedName name="URAIAN7614d" localSheetId="7">[11]NP!#REF!</definedName>
    <definedName name="URAIAN7614d" localSheetId="8">[11]NP!#REF!</definedName>
    <definedName name="URAIAN7614d" localSheetId="16">[11]NP!#REF!</definedName>
    <definedName name="URAIAN7614d" localSheetId="9">[11]NP!#REF!</definedName>
    <definedName name="URAIAN7614d">[11]NP!#REF!</definedName>
    <definedName name="URAIAN7614e">[11]NP!$A$722:$J$722</definedName>
    <definedName name="URAIAN7618">[11]NP!$A$723:$J$842</definedName>
    <definedName name="URAIAN7619">[11]NP!$A$843:$J$962</definedName>
    <definedName name="URAIAN768">[11]NP!$A$2:$J$120</definedName>
    <definedName name="URAIAN769">[11]NP!$A$121:$J$240</definedName>
    <definedName name="URAIAN76x">[11]NP!$A$602:$J$721</definedName>
    <definedName name="URAIAN771a" localSheetId="4">'[7]DIV. 6 - 7'!#REF!</definedName>
    <definedName name="URAIAN771a" localSheetId="1">'[7]DIV. 6 - 7'!#REF!</definedName>
    <definedName name="URAIAN771a" localSheetId="7">'[7]DIV. 6 - 7'!#REF!</definedName>
    <definedName name="URAIAN771a" localSheetId="8">'[7]DIV. 6 - 7'!#REF!</definedName>
    <definedName name="URAIAN771a" localSheetId="16">'[7]DIV. 6 - 7'!#REF!</definedName>
    <definedName name="URAIAN771a" localSheetId="9">'[7]DIV. 6 - 7'!#REF!</definedName>
    <definedName name="URAIAN771a">'[7]DIV. 6 - 7'!#REF!</definedName>
    <definedName name="URAIAN771b" localSheetId="1">'[7]DIV. 6 - 7'!#REF!</definedName>
    <definedName name="URAIAN771b" localSheetId="7">'[7]DIV. 6 - 7'!#REF!</definedName>
    <definedName name="URAIAN771b" localSheetId="8">'[7]DIV. 6 - 7'!#REF!</definedName>
    <definedName name="URAIAN771b" localSheetId="16">'[7]DIV. 6 - 7'!#REF!</definedName>
    <definedName name="URAIAN771b" localSheetId="9">'[7]DIV. 6 - 7'!#REF!</definedName>
    <definedName name="URAIAN771b">'[7]DIV. 6 - 7'!#REF!</definedName>
    <definedName name="URAIAN771c" localSheetId="7">'[7]DIV. 6 - 7'!#REF!</definedName>
    <definedName name="URAIAN771c" localSheetId="8">'[7]DIV. 6 - 7'!#REF!</definedName>
    <definedName name="URAIAN771c" localSheetId="16">'[7]DIV. 6 - 7'!#REF!</definedName>
    <definedName name="URAIAN771c" localSheetId="9">'[7]DIV. 6 - 7'!#REF!</definedName>
    <definedName name="URAIAN771c">'[7]DIV. 6 - 7'!#REF!</definedName>
    <definedName name="URAIAN771d" localSheetId="7">'[7]DIV. 6 - 7'!#REF!</definedName>
    <definedName name="URAIAN771d" localSheetId="8">'[7]DIV. 6 - 7'!#REF!</definedName>
    <definedName name="URAIAN771d" localSheetId="16">'[7]DIV. 6 - 7'!#REF!</definedName>
    <definedName name="URAIAN771d" localSheetId="9">'[7]DIV. 6 - 7'!#REF!</definedName>
    <definedName name="URAIAN771d">'[7]DIV. 6 - 7'!#REF!</definedName>
    <definedName name="URAIAN772a" localSheetId="7">'[7]DIV. 6 - 7'!#REF!</definedName>
    <definedName name="URAIAN772a" localSheetId="8">'[7]DIV. 6 - 7'!#REF!</definedName>
    <definedName name="URAIAN772a" localSheetId="16">'[7]DIV. 6 - 7'!#REF!</definedName>
    <definedName name="URAIAN772a" localSheetId="9">'[7]DIV. 6 - 7'!#REF!</definedName>
    <definedName name="URAIAN772a">'[7]DIV. 6 - 7'!#REF!</definedName>
    <definedName name="URAIAN772b" localSheetId="7">'[7]DIV. 6 - 7'!#REF!</definedName>
    <definedName name="URAIAN772b" localSheetId="8">'[7]DIV. 6 - 7'!#REF!</definedName>
    <definedName name="URAIAN772b" localSheetId="16">'[7]DIV. 6 - 7'!#REF!</definedName>
    <definedName name="URAIAN772b" localSheetId="9">'[7]DIV. 6 - 7'!#REF!</definedName>
    <definedName name="URAIAN772b">'[7]DIV. 6 - 7'!#REF!</definedName>
    <definedName name="URAIAN772c" localSheetId="7">'[7]DIV. 6 - 7'!#REF!</definedName>
    <definedName name="URAIAN772c" localSheetId="8">'[7]DIV. 6 - 7'!#REF!</definedName>
    <definedName name="URAIAN772c" localSheetId="16">'[7]DIV. 6 - 7'!#REF!</definedName>
    <definedName name="URAIAN772c" localSheetId="9">'[7]DIV. 6 - 7'!#REF!</definedName>
    <definedName name="URAIAN772c">'[7]DIV. 6 - 7'!#REF!</definedName>
    <definedName name="URAIAN772d" localSheetId="7">'[7]DIV. 6 - 7'!#REF!</definedName>
    <definedName name="URAIAN772d" localSheetId="8">'[7]DIV. 6 - 7'!#REF!</definedName>
    <definedName name="URAIAN772d" localSheetId="16">'[7]DIV. 6 - 7'!#REF!</definedName>
    <definedName name="URAIAN772d" localSheetId="9">'[7]DIV. 6 - 7'!#REF!</definedName>
    <definedName name="URAIAN772d">'[7]DIV. 6 - 7'!#REF!</definedName>
    <definedName name="URAIAN79manual">[11]NP!$A$963:$J$1082</definedName>
    <definedName name="URAIAN79mekanis">[11]NP!$A$1083:$J$1202</definedName>
    <definedName name="URAIAN811" localSheetId="4">'[7]DIV.8 NP'!#REF!</definedName>
    <definedName name="URAIAN811" localSheetId="1">'[7]DIV.8 NP'!#REF!</definedName>
    <definedName name="URAIAN811" localSheetId="7">'[7]DIV.8 NP'!#REF!</definedName>
    <definedName name="URAIAN811" localSheetId="8">'[7]DIV.8 NP'!#REF!</definedName>
    <definedName name="URAIAN811" localSheetId="16">'[7]DIV.8 NP'!#REF!</definedName>
    <definedName name="URAIAN811" localSheetId="9">'[7]DIV.8 NP'!#REF!</definedName>
    <definedName name="URAIAN811">'[7]DIV.8 NP'!#REF!</definedName>
    <definedName name="URAIAN812" localSheetId="1">'[7]DIV.8 NP'!#REF!</definedName>
    <definedName name="URAIAN812" localSheetId="7">'[7]DIV.8 NP'!#REF!</definedName>
    <definedName name="URAIAN812" localSheetId="8">'[7]DIV.8 NP'!#REF!</definedName>
    <definedName name="URAIAN812" localSheetId="16">'[7]DIV.8 NP'!#REF!</definedName>
    <definedName name="URAIAN812" localSheetId="9">'[7]DIV.8 NP'!#REF!</definedName>
    <definedName name="URAIAN812">'[7]DIV.8 NP'!#REF!</definedName>
    <definedName name="URAIAN813" localSheetId="7">'[7]DIV.8 NP'!#REF!</definedName>
    <definedName name="URAIAN813" localSheetId="8">'[7]DIV.8 NP'!#REF!</definedName>
    <definedName name="URAIAN813" localSheetId="16">'[7]DIV.8 NP'!#REF!</definedName>
    <definedName name="URAIAN813" localSheetId="9">'[7]DIV.8 NP'!#REF!</definedName>
    <definedName name="URAIAN813">'[7]DIV.8 NP'!#REF!</definedName>
    <definedName name="URAIAN814" localSheetId="7">'[7]DIV.8 NP'!#REF!</definedName>
    <definedName name="URAIAN814" localSheetId="8">'[7]DIV.8 NP'!#REF!</definedName>
    <definedName name="URAIAN814" localSheetId="16">'[7]DIV.8 NP'!#REF!</definedName>
    <definedName name="URAIAN814" localSheetId="9">'[7]DIV.8 NP'!#REF!</definedName>
    <definedName name="URAIAN814">'[7]DIV.8 NP'!#REF!</definedName>
    <definedName name="URAIAN815" localSheetId="7">'[7]DIV.8 NP'!#REF!</definedName>
    <definedName name="URAIAN815" localSheetId="8">'[7]DIV.8 NP'!#REF!</definedName>
    <definedName name="URAIAN815" localSheetId="16">'[7]DIV.8 NP'!#REF!</definedName>
    <definedName name="URAIAN815" localSheetId="9">'[7]DIV.8 NP'!#REF!</definedName>
    <definedName name="URAIAN815">'[7]DIV.8 NP'!#REF!</definedName>
    <definedName name="URAIAN817" localSheetId="7">'[7]DIV.8 NP'!#REF!</definedName>
    <definedName name="URAIAN817" localSheetId="8">'[7]DIV.8 NP'!#REF!</definedName>
    <definedName name="URAIAN817" localSheetId="16">'[7]DIV.8 NP'!#REF!</definedName>
    <definedName name="URAIAN817" localSheetId="9">'[7]DIV.8 NP'!#REF!</definedName>
    <definedName name="URAIAN817">'[7]DIV.8 NP'!#REF!</definedName>
    <definedName name="URAIAN818" localSheetId="7">'[7]DIV.8 NP'!#REF!</definedName>
    <definedName name="URAIAN818" localSheetId="8">'[7]DIV.8 NP'!#REF!</definedName>
    <definedName name="URAIAN818" localSheetId="16">'[7]DIV.8 NP'!#REF!</definedName>
    <definedName name="URAIAN818" localSheetId="9">'[7]DIV.8 NP'!#REF!</definedName>
    <definedName name="URAIAN818">'[7]DIV.8 NP'!#REF!</definedName>
    <definedName name="URAIAN819" localSheetId="7">'[7]DIV.8 NP'!#REF!</definedName>
    <definedName name="URAIAN819" localSheetId="8">'[7]DIV.8 NP'!#REF!</definedName>
    <definedName name="URAIAN819" localSheetId="16">'[7]DIV.8 NP'!#REF!</definedName>
    <definedName name="URAIAN819" localSheetId="9">'[7]DIV.8 NP'!#REF!</definedName>
    <definedName name="URAIAN819">'[7]DIV.8 NP'!#REF!</definedName>
    <definedName name="URAIAN82" localSheetId="7">'[7]DIV.8 NP'!#REF!</definedName>
    <definedName name="URAIAN82" localSheetId="8">'[7]DIV.8 NP'!#REF!</definedName>
    <definedName name="URAIAN82" localSheetId="16">'[7]DIV.8 NP'!#REF!</definedName>
    <definedName name="URAIAN82" localSheetId="9">'[7]DIV.8 NP'!#REF!</definedName>
    <definedName name="URAIAN82">'[7]DIV.8 NP'!#REF!</definedName>
    <definedName name="Uraian841" localSheetId="7">'[7]DIV.8 NP'!#REF!</definedName>
    <definedName name="Uraian841" localSheetId="8">'[7]DIV.8 NP'!#REF!</definedName>
    <definedName name="Uraian841" localSheetId="16">'[7]DIV.8 NP'!#REF!</definedName>
    <definedName name="Uraian841" localSheetId="9">'[7]DIV.8 NP'!#REF!</definedName>
    <definedName name="Uraian841">'[7]DIV.8 NP'!#REF!</definedName>
    <definedName name="Uraian8410" localSheetId="7">'[7]DIV.8 NP'!#REF!</definedName>
    <definedName name="Uraian8410" localSheetId="8">'[7]DIV.8 NP'!#REF!</definedName>
    <definedName name="Uraian8410" localSheetId="16">'[7]DIV.8 NP'!#REF!</definedName>
    <definedName name="Uraian8410" localSheetId="9">'[7]DIV.8 NP'!#REF!</definedName>
    <definedName name="Uraian8410">'[7]DIV.8 NP'!#REF!</definedName>
    <definedName name="Uraian842" localSheetId="7">'[7]DIV.8 NP'!#REF!</definedName>
    <definedName name="Uraian842" localSheetId="8">'[7]DIV.8 NP'!#REF!</definedName>
    <definedName name="Uraian842" localSheetId="16">'[7]DIV.8 NP'!#REF!</definedName>
    <definedName name="Uraian842" localSheetId="9">'[7]DIV.8 NP'!#REF!</definedName>
    <definedName name="Uraian842">'[7]DIV.8 NP'!#REF!</definedName>
    <definedName name="Uraian844" localSheetId="7">'[7]DIV.8 NP'!#REF!</definedName>
    <definedName name="Uraian844" localSheetId="8">'[7]DIV.8 NP'!#REF!</definedName>
    <definedName name="Uraian844" localSheetId="16">'[7]DIV.8 NP'!#REF!</definedName>
    <definedName name="Uraian844" localSheetId="9">'[7]DIV.8 NP'!#REF!</definedName>
    <definedName name="Uraian844">'[7]DIV.8 NP'!#REF!</definedName>
    <definedName name="Uraian845" localSheetId="7">'[7]DIV.8 NP'!#REF!</definedName>
    <definedName name="Uraian845" localSheetId="8">'[7]DIV.8 NP'!#REF!</definedName>
    <definedName name="Uraian845" localSheetId="16">'[7]DIV.8 NP'!#REF!</definedName>
    <definedName name="Uraian845" localSheetId="9">'[7]DIV.8 NP'!#REF!</definedName>
    <definedName name="Uraian845">'[7]DIV.8 NP'!#REF!</definedName>
    <definedName name="Uraian846" localSheetId="7">'[7]DIV.8 NP'!#REF!</definedName>
    <definedName name="Uraian846" localSheetId="8">'[7]DIV.8 NP'!#REF!</definedName>
    <definedName name="Uraian846" localSheetId="16">'[7]DIV.8 NP'!#REF!</definedName>
    <definedName name="Uraian846" localSheetId="9">'[7]DIV.8 NP'!#REF!</definedName>
    <definedName name="Uraian846">'[7]DIV.8 NP'!#REF!</definedName>
    <definedName name="Uraian847" localSheetId="7">'[7]DIV.8 NP'!#REF!</definedName>
    <definedName name="Uraian847" localSheetId="8">'[7]DIV.8 NP'!#REF!</definedName>
    <definedName name="Uraian847" localSheetId="16">'[7]DIV.8 NP'!#REF!</definedName>
    <definedName name="Uraian847" localSheetId="9">'[7]DIV.8 NP'!#REF!</definedName>
    <definedName name="Uraian847">'[7]DIV.8 NP'!#REF!</definedName>
    <definedName name="URAIAN910" localSheetId="7">'[7]DIV.9 NP'!#REF!</definedName>
    <definedName name="URAIAN910" localSheetId="8">'[7]DIV.9 NP'!#REF!</definedName>
    <definedName name="URAIAN910" localSheetId="16">'[7]DIV.9 NP'!#REF!</definedName>
    <definedName name="URAIAN910" localSheetId="9">'[7]DIV.9 NP'!#REF!</definedName>
    <definedName name="URAIAN910">'[7]DIV.9 NP'!#REF!</definedName>
    <definedName name="URAIAN911" localSheetId="7">'[7]DIV.9 NP'!#REF!</definedName>
    <definedName name="URAIAN911" localSheetId="8">'[7]DIV.9 NP'!#REF!</definedName>
    <definedName name="URAIAN911" localSheetId="16">'[7]DIV.9 NP'!#REF!</definedName>
    <definedName name="URAIAN911" localSheetId="9">'[7]DIV.9 NP'!#REF!</definedName>
    <definedName name="URAIAN911">'[7]DIV.9 NP'!#REF!</definedName>
    <definedName name="URAIAN912" localSheetId="7">'[7]DIV.9 NP'!#REF!</definedName>
    <definedName name="URAIAN912" localSheetId="8">'[7]DIV.9 NP'!#REF!</definedName>
    <definedName name="URAIAN912" localSheetId="16">'[7]DIV.9 NP'!#REF!</definedName>
    <definedName name="URAIAN912" localSheetId="9">'[7]DIV.9 NP'!#REF!</definedName>
    <definedName name="URAIAN912">'[7]DIV.9 NP'!#REF!</definedName>
    <definedName name="URAIAN913" localSheetId="7">'[7]DIV.9 NP'!#REF!</definedName>
    <definedName name="URAIAN913" localSheetId="8">'[7]DIV.9 NP'!#REF!</definedName>
    <definedName name="URAIAN913" localSheetId="16">'[7]DIV.9 NP'!#REF!</definedName>
    <definedName name="URAIAN913" localSheetId="9">'[7]DIV.9 NP'!#REF!</definedName>
    <definedName name="URAIAN913">'[7]DIV.9 NP'!#REF!</definedName>
    <definedName name="URAIAN914" localSheetId="7">'[7]DIV.9 NP'!#REF!</definedName>
    <definedName name="URAIAN914" localSheetId="8">'[7]DIV.9 NP'!#REF!</definedName>
    <definedName name="URAIAN914" localSheetId="16">'[7]DIV.9 NP'!#REF!</definedName>
    <definedName name="URAIAN914" localSheetId="9">'[7]DIV.9 NP'!#REF!</definedName>
    <definedName name="URAIAN914">'[7]DIV.9 NP'!#REF!</definedName>
    <definedName name="URAIAN915" localSheetId="7">'[7]DIV.9 NP'!#REF!</definedName>
    <definedName name="URAIAN915" localSheetId="8">'[7]DIV.9 NP'!#REF!</definedName>
    <definedName name="URAIAN915" localSheetId="16">'[7]DIV.9 NP'!#REF!</definedName>
    <definedName name="URAIAN915" localSheetId="9">'[7]DIV.9 NP'!#REF!</definedName>
    <definedName name="URAIAN915">'[7]DIV.9 NP'!#REF!</definedName>
    <definedName name="URAIAN916" localSheetId="7">'[7]DIV.9 NP'!#REF!</definedName>
    <definedName name="URAIAN916" localSheetId="8">'[7]DIV.9 NP'!#REF!</definedName>
    <definedName name="URAIAN916" localSheetId="16">'[7]DIV.9 NP'!#REF!</definedName>
    <definedName name="URAIAN916" localSheetId="9">'[7]DIV.9 NP'!#REF!</definedName>
    <definedName name="URAIAN916">'[7]DIV.9 NP'!#REF!</definedName>
    <definedName name="URAIAN917" localSheetId="7">'[7]DIV.9 NP'!#REF!</definedName>
    <definedName name="URAIAN917" localSheetId="8">'[7]DIV.9 NP'!#REF!</definedName>
    <definedName name="URAIAN917" localSheetId="16">'[7]DIV.9 NP'!#REF!</definedName>
    <definedName name="URAIAN917" localSheetId="9">'[7]DIV.9 NP'!#REF!</definedName>
    <definedName name="URAIAN917">'[7]DIV.9 NP'!#REF!</definedName>
    <definedName name="URAIAN918" localSheetId="7">'[7]DIV.9 NP'!#REF!</definedName>
    <definedName name="URAIAN918" localSheetId="8">'[7]DIV.9 NP'!#REF!</definedName>
    <definedName name="URAIAN918" localSheetId="16">'[7]DIV.9 NP'!#REF!</definedName>
    <definedName name="URAIAN918" localSheetId="9">'[7]DIV.9 NP'!#REF!</definedName>
    <definedName name="URAIAN918">'[7]DIV.9 NP'!#REF!</definedName>
    <definedName name="URAIAN919" localSheetId="7">'[7]DIV.9 NP'!#REF!</definedName>
    <definedName name="URAIAN919" localSheetId="8">'[7]DIV.9 NP'!#REF!</definedName>
    <definedName name="URAIAN919" localSheetId="16">'[7]DIV.9 NP'!#REF!</definedName>
    <definedName name="URAIAN919" localSheetId="9">'[7]DIV.9 NP'!#REF!</definedName>
    <definedName name="URAIAN919">'[7]DIV.9 NP'!#REF!</definedName>
    <definedName name="URAIAN920" localSheetId="7">'[7]DIV.9 NP'!#REF!</definedName>
    <definedName name="URAIAN920" localSheetId="8">'[7]DIV.9 NP'!#REF!</definedName>
    <definedName name="URAIAN920" localSheetId="16">'[7]DIV.9 NP'!#REF!</definedName>
    <definedName name="URAIAN920" localSheetId="9">'[7]DIV.9 NP'!#REF!</definedName>
    <definedName name="URAIAN920">'[7]DIV.9 NP'!#REF!</definedName>
    <definedName name="URAIAN94" localSheetId="7">'[7]DIV.9 NP'!#REF!</definedName>
    <definedName name="URAIAN94" localSheetId="8">'[7]DIV.9 NP'!#REF!</definedName>
    <definedName name="URAIAN94" localSheetId="16">'[7]DIV.9 NP'!#REF!</definedName>
    <definedName name="URAIAN94" localSheetId="9">'[7]DIV.9 NP'!#REF!</definedName>
    <definedName name="URAIAN94">'[7]DIV.9 NP'!#REF!</definedName>
    <definedName name="URAIAN95" localSheetId="7">'[7]DIV.9 NP'!#REF!</definedName>
    <definedName name="URAIAN95" localSheetId="8">'[7]DIV.9 NP'!#REF!</definedName>
    <definedName name="URAIAN95" localSheetId="16">'[7]DIV.9 NP'!#REF!</definedName>
    <definedName name="URAIAN95" localSheetId="9">'[7]DIV.9 NP'!#REF!</definedName>
    <definedName name="URAIAN95">'[7]DIV.9 NP'!#REF!</definedName>
    <definedName name="URAIAN96" localSheetId="7">'[7]DIV.9 NP'!#REF!</definedName>
    <definedName name="URAIAN96" localSheetId="8">'[7]DIV.9 NP'!#REF!</definedName>
    <definedName name="URAIAN96" localSheetId="16">'[7]DIV.9 NP'!#REF!</definedName>
    <definedName name="URAIAN96" localSheetId="9">'[7]DIV.9 NP'!#REF!</definedName>
    <definedName name="URAIAN96">'[7]DIV.9 NP'!#REF!</definedName>
    <definedName name="URAIAN97" localSheetId="7">'[7]DIV.9 NP'!#REF!</definedName>
    <definedName name="URAIAN97" localSheetId="8">'[7]DIV.9 NP'!#REF!</definedName>
    <definedName name="URAIAN97" localSheetId="16">'[7]DIV.9 NP'!#REF!</definedName>
    <definedName name="URAIAN97" localSheetId="9">'[7]DIV.9 NP'!#REF!</definedName>
    <definedName name="URAIAN97">'[7]DIV.9 NP'!#REF!</definedName>
    <definedName name="URAIAN98" localSheetId="7">'[7]DIV.9 NP'!#REF!</definedName>
    <definedName name="URAIAN98" localSheetId="8">'[7]DIV.9 NP'!#REF!</definedName>
    <definedName name="URAIAN98" localSheetId="16">'[7]DIV.9 NP'!#REF!</definedName>
    <definedName name="URAIAN98" localSheetId="9">'[7]DIV.9 NP'!#REF!</definedName>
    <definedName name="URAIAN98">'[7]DIV.9 NP'!#REF!</definedName>
    <definedName name="URAIAN99" localSheetId="7">'[7]DIV.9 NP'!#REF!</definedName>
    <definedName name="URAIAN99" localSheetId="8">'[7]DIV.9 NP'!#REF!</definedName>
    <definedName name="URAIAN99" localSheetId="16">'[7]DIV.9 NP'!#REF!</definedName>
    <definedName name="URAIAN99" localSheetId="9">'[7]DIV.9 NP'!#REF!</definedName>
    <definedName name="URAIAN99">'[7]DIV.9 NP'!#REF!</definedName>
    <definedName name="URAIANGEOTEKSTIL" localSheetId="7">[11]NP!#REF!</definedName>
    <definedName name="URAIANGEOTEKSTIL" localSheetId="8">[11]NP!#REF!</definedName>
    <definedName name="URAIANGEOTEKSTIL" localSheetId="16">[11]NP!#REF!</definedName>
    <definedName name="URAIANGEOTEKSTIL" localSheetId="9">[11]NP!#REF!</definedName>
    <definedName name="URAIANGEOTEKSTIL">[11]NP!#REF!</definedName>
    <definedName name="urinoir" localSheetId="7">'[18]harga lama'!#REF!</definedName>
    <definedName name="urinoir" localSheetId="8">'[18]harga lama'!#REF!</definedName>
    <definedName name="urinoir" localSheetId="16">'[18]harga lama'!#REF!</definedName>
    <definedName name="urinoir" localSheetId="9">'[18]harga lama'!#REF!</definedName>
    <definedName name="urinoir">'[18]harga lama'!#REF!</definedName>
    <definedName name="urugkembali" localSheetId="1">#REF!</definedName>
    <definedName name="urugkembali" localSheetId="7">#REF!</definedName>
    <definedName name="urugkembali" localSheetId="8">#REF!</definedName>
    <definedName name="urugkembali" localSheetId="16">#REF!</definedName>
    <definedName name="urugkembali" localSheetId="9">#REF!</definedName>
    <definedName name="urugkembali">#REF!</definedName>
    <definedName name="UTAIAN7614c" localSheetId="1">[11]NP!#REF!</definedName>
    <definedName name="UTAIAN7614c" localSheetId="7">[11]NP!#REF!</definedName>
    <definedName name="UTAIAN7614c" localSheetId="8">[11]NP!#REF!</definedName>
    <definedName name="UTAIAN7614c" localSheetId="16">[11]NP!#REF!</definedName>
    <definedName name="UTAIAN7614c" localSheetId="9">[11]NP!#REF!</definedName>
    <definedName name="UTAIAN7614c">[11]NP!#REF!</definedName>
    <definedName name="v" localSheetId="1">#REF!</definedName>
    <definedName name="v" localSheetId="7">#REF!</definedName>
    <definedName name="v" localSheetId="8">#REF!</definedName>
    <definedName name="v" localSheetId="16">#REF!</definedName>
    <definedName name="v" localSheetId="9">#REF!</definedName>
    <definedName name="v">#REF!</definedName>
    <definedName name="vibrator" localSheetId="1">'[18]harga lama'!#REF!</definedName>
    <definedName name="vibrator" localSheetId="7">'[18]harga lama'!#REF!</definedName>
    <definedName name="vibrator" localSheetId="8">'[18]harga lama'!#REF!</definedName>
    <definedName name="vibrator" localSheetId="16">'[18]harga lama'!#REF!</definedName>
    <definedName name="vibrator" localSheetId="9">'[18]harga lama'!#REF!</definedName>
    <definedName name="vibrator">'[18]harga lama'!#REF!</definedName>
    <definedName name="vibro7" localSheetId="1">#REF!</definedName>
    <definedName name="vibro7" localSheetId="7">#REF!</definedName>
    <definedName name="vibro7" localSheetId="8">#REF!</definedName>
    <definedName name="vibro7" localSheetId="16">#REF!</definedName>
    <definedName name="vibro7" localSheetId="0">#REF!</definedName>
    <definedName name="vibro7" localSheetId="9">#REF!</definedName>
    <definedName name="vibro7">#REF!</definedName>
    <definedName name="VIBROROLLER">'[11]An. Alat'!$A$415:$J$473</definedName>
    <definedName name="VIBROROLLER321" localSheetId="1">#REF!</definedName>
    <definedName name="VIBROROLLER321" localSheetId="7">#REF!</definedName>
    <definedName name="VIBROROLLER321" localSheetId="8">#REF!</definedName>
    <definedName name="VIBROROLLER321" localSheetId="16">#REF!</definedName>
    <definedName name="VIBROROLLER321" localSheetId="9">#REF!</definedName>
    <definedName name="VIBROROLLER321">#REF!</definedName>
    <definedName name="VIBROROLLER33" localSheetId="7">#REF!</definedName>
    <definedName name="VIBROROLLER33" localSheetId="8">#REF!</definedName>
    <definedName name="VIBROROLLER33" localSheetId="16">#REF!</definedName>
    <definedName name="VIBROROLLER33" localSheetId="9">#REF!</definedName>
    <definedName name="VIBROROLLER33">#REF!</definedName>
    <definedName name="VIBROROLLER511" localSheetId="7">#REF!</definedName>
    <definedName name="VIBROROLLER511" localSheetId="8">#REF!</definedName>
    <definedName name="VIBROROLLER511" localSheetId="16">#REF!</definedName>
    <definedName name="VIBROROLLER511" localSheetId="9">#REF!</definedName>
    <definedName name="VIBROROLLER511">#REF!</definedName>
    <definedName name="VIBROROLLER512" localSheetId="7">#REF!</definedName>
    <definedName name="VIBROROLLER512" localSheetId="8">#REF!</definedName>
    <definedName name="VIBROROLLER512" localSheetId="16">#REF!</definedName>
    <definedName name="VIBROROLLER512" localSheetId="9">#REF!</definedName>
    <definedName name="VIBROROLLER512">#REF!</definedName>
    <definedName name="VIBROROLLER521" localSheetId="7">#REF!</definedName>
    <definedName name="VIBROROLLER521" localSheetId="8">#REF!</definedName>
    <definedName name="VIBROROLLER521" localSheetId="16">#REF!</definedName>
    <definedName name="VIBROROLLER521" localSheetId="9">#REF!</definedName>
    <definedName name="VIBROROLLER521">#REF!</definedName>
    <definedName name="vr" localSheetId="7">#REF!</definedName>
    <definedName name="vr" localSheetId="8">#REF!</definedName>
    <definedName name="vr" localSheetId="16">#REF!</definedName>
    <definedName name="vr" localSheetId="9">#REF!</definedName>
    <definedName name="vr">#REF!</definedName>
    <definedName name="VST" localSheetId="1">'[14]5TH'!$DR$13:$DR$504</definedName>
    <definedName name="VST">'[15]5TH'!$DR$13:$DR$504</definedName>
    <definedName name="W" localSheetId="1">#REF!</definedName>
    <definedName name="W" localSheetId="7">#REF!</definedName>
    <definedName name="W" localSheetId="8">#REF!</definedName>
    <definedName name="W" localSheetId="16">#REF!</definedName>
    <definedName name="W" localSheetId="9">#REF!</definedName>
    <definedName name="W">#REF!</definedName>
    <definedName name="w.01" localSheetId="1">#REF!</definedName>
    <definedName name="w.01" localSheetId="7">#REF!</definedName>
    <definedName name="w.01" localSheetId="8">#REF!</definedName>
    <definedName name="w.01" localSheetId="16">#REF!</definedName>
    <definedName name="w.01" localSheetId="0">#REF!</definedName>
    <definedName name="w.01" localSheetId="9">#REF!</definedName>
    <definedName name="w.01">#REF!</definedName>
    <definedName name="W.0104" localSheetId="7">#REF!</definedName>
    <definedName name="W.0104" localSheetId="8">#REF!</definedName>
    <definedName name="W.0104" localSheetId="16">#REF!</definedName>
    <definedName name="W.0104" localSheetId="9">#REF!</definedName>
    <definedName name="W.0104">#REF!</definedName>
    <definedName name="w.02" localSheetId="7">#REF!</definedName>
    <definedName name="w.02" localSheetId="8">#REF!</definedName>
    <definedName name="w.02" localSheetId="16">#REF!</definedName>
    <definedName name="w.02" localSheetId="0">#REF!</definedName>
    <definedName name="w.02" localSheetId="9">#REF!</definedName>
    <definedName name="w.02">#REF!</definedName>
    <definedName name="W.0346" localSheetId="7">#REF!</definedName>
    <definedName name="W.0346" localSheetId="8">#REF!</definedName>
    <definedName name="W.0346" localSheetId="16">#REF!</definedName>
    <definedName name="W.0346" localSheetId="9">#REF!</definedName>
    <definedName name="W.0346">#REF!</definedName>
    <definedName name="w.03a" localSheetId="7">#REF!</definedName>
    <definedName name="w.03a" localSheetId="8">#REF!</definedName>
    <definedName name="w.03a" localSheetId="16">#REF!</definedName>
    <definedName name="w.03a" localSheetId="0">#REF!</definedName>
    <definedName name="w.03a" localSheetId="9">#REF!</definedName>
    <definedName name="w.03a">#REF!</definedName>
    <definedName name="w.03b" localSheetId="7">#REF!</definedName>
    <definedName name="w.03b" localSheetId="8">#REF!</definedName>
    <definedName name="w.03b" localSheetId="16">#REF!</definedName>
    <definedName name="w.03b" localSheetId="0">#REF!</definedName>
    <definedName name="w.03b" localSheetId="9">#REF!</definedName>
    <definedName name="w.03b">#REF!</definedName>
    <definedName name="w.04" localSheetId="7">#REF!</definedName>
    <definedName name="w.04" localSheetId="8">#REF!</definedName>
    <definedName name="w.04" localSheetId="16">#REF!</definedName>
    <definedName name="w.04" localSheetId="0">#REF!</definedName>
    <definedName name="w.04" localSheetId="9">#REF!</definedName>
    <definedName name="w.04">#REF!</definedName>
    <definedName name="w.05a" localSheetId="7">#REF!</definedName>
    <definedName name="w.05a" localSheetId="8">#REF!</definedName>
    <definedName name="w.05a" localSheetId="16">#REF!</definedName>
    <definedName name="w.05a" localSheetId="0">#REF!</definedName>
    <definedName name="w.05a" localSheetId="9">#REF!</definedName>
    <definedName name="w.05a">#REF!</definedName>
    <definedName name="w.05b" localSheetId="7">#REF!</definedName>
    <definedName name="w.05b" localSheetId="8">#REF!</definedName>
    <definedName name="w.05b" localSheetId="16">#REF!</definedName>
    <definedName name="w.05b" localSheetId="0">#REF!</definedName>
    <definedName name="w.05b" localSheetId="9">#REF!</definedName>
    <definedName name="w.05b">#REF!</definedName>
    <definedName name="W.1" localSheetId="7">#REF!</definedName>
    <definedName name="W.1" localSheetId="8">#REF!</definedName>
    <definedName name="W.1" localSheetId="16">#REF!</definedName>
    <definedName name="W.1" localSheetId="9">#REF!</definedName>
    <definedName name="W.1">#REF!</definedName>
    <definedName name="W.1A" localSheetId="7">#REF!</definedName>
    <definedName name="W.1A" localSheetId="8">#REF!</definedName>
    <definedName name="W.1A" localSheetId="16">#REF!</definedName>
    <definedName name="W.1A" localSheetId="9">#REF!</definedName>
    <definedName name="W.1A">#REF!</definedName>
    <definedName name="W.2" localSheetId="7">#REF!</definedName>
    <definedName name="W.2" localSheetId="8">#REF!</definedName>
    <definedName name="W.2" localSheetId="16">#REF!</definedName>
    <definedName name="W.2" localSheetId="9">#REF!</definedName>
    <definedName name="W.2">#REF!</definedName>
    <definedName name="W.3" localSheetId="7">#REF!</definedName>
    <definedName name="W.3" localSheetId="8">#REF!</definedName>
    <definedName name="W.3" localSheetId="16">#REF!</definedName>
    <definedName name="W.3" localSheetId="9">#REF!</definedName>
    <definedName name="W.3">#REF!</definedName>
    <definedName name="W.3A" localSheetId="7">#REF!</definedName>
    <definedName name="W.3A" localSheetId="8">#REF!</definedName>
    <definedName name="W.3A" localSheetId="16">#REF!</definedName>
    <definedName name="W.3A" localSheetId="9">#REF!</definedName>
    <definedName name="W.3A">#REF!</definedName>
    <definedName name="W.4" localSheetId="7">#REF!</definedName>
    <definedName name="W.4" localSheetId="8">#REF!</definedName>
    <definedName name="W.4" localSheetId="16">#REF!</definedName>
    <definedName name="W.4" localSheetId="9">#REF!</definedName>
    <definedName name="W.4">#REF!</definedName>
    <definedName name="W.5" localSheetId="7">#REF!</definedName>
    <definedName name="W.5" localSheetId="8">#REF!</definedName>
    <definedName name="W.5" localSheetId="16">#REF!</definedName>
    <definedName name="W.5" localSheetId="9">#REF!</definedName>
    <definedName name="W.5">#REF!</definedName>
    <definedName name="W.5A" localSheetId="7">#REF!</definedName>
    <definedName name="W.5A" localSheetId="8">#REF!</definedName>
    <definedName name="W.5A" localSheetId="16">#REF!</definedName>
    <definedName name="W.5A" localSheetId="9">#REF!</definedName>
    <definedName name="W.5A">#REF!</definedName>
    <definedName name="W.7" localSheetId="7">#REF!</definedName>
    <definedName name="W.7" localSheetId="8">#REF!</definedName>
    <definedName name="W.7" localSheetId="16">#REF!</definedName>
    <definedName name="W.7" localSheetId="9">#REF!</definedName>
    <definedName name="W.7">#REF!</definedName>
    <definedName name="W.7A" localSheetId="7">#REF!</definedName>
    <definedName name="W.7A" localSheetId="8">#REF!</definedName>
    <definedName name="W.7A" localSheetId="16">#REF!</definedName>
    <definedName name="W.7A" localSheetId="9">#REF!</definedName>
    <definedName name="W.7A">#REF!</definedName>
    <definedName name="W.O5B" localSheetId="7">#REF!</definedName>
    <definedName name="W.O5B" localSheetId="8">#REF!</definedName>
    <definedName name="W.O5B" localSheetId="16">#REF!</definedName>
    <definedName name="W.O5B" localSheetId="9">#REF!</definedName>
    <definedName name="W.O5B">#REF!</definedName>
    <definedName name="w.stain" localSheetId="7">#REF!</definedName>
    <definedName name="w.stain" localSheetId="8">#REF!</definedName>
    <definedName name="w.stain" localSheetId="16">#REF!</definedName>
    <definedName name="w.stain" localSheetId="9">#REF!</definedName>
    <definedName name="w.stain">#REF!</definedName>
    <definedName name="wanita">'[1]Upah&amp;Bahan'!$C$56</definedName>
    <definedName name="washtafel" localSheetId="1">#REF!</definedName>
    <definedName name="washtafel" localSheetId="7">#REF!</definedName>
    <definedName name="washtafel" localSheetId="8">#REF!</definedName>
    <definedName name="washtafel" localSheetId="16">#REF!</definedName>
    <definedName name="washtafel" localSheetId="9">#REF!</definedName>
    <definedName name="washtafel">#REF!</definedName>
    <definedName name="water.prof" localSheetId="7">#REF!</definedName>
    <definedName name="water.prof" localSheetId="8">#REF!</definedName>
    <definedName name="water.prof" localSheetId="16">#REF!</definedName>
    <definedName name="water.prof" localSheetId="9">#REF!</definedName>
    <definedName name="water.prof">#REF!</definedName>
    <definedName name="Waterpass" localSheetId="7">'[18]harga lama'!#REF!</definedName>
    <definedName name="Waterpass" localSheetId="8">'[18]harga lama'!#REF!</definedName>
    <definedName name="Waterpass" localSheetId="16">'[18]harga lama'!#REF!</definedName>
    <definedName name="Waterpass" localSheetId="9">'[18]harga lama'!#REF!</definedName>
    <definedName name="Waterpass">'[18]harga lama'!#REF!</definedName>
    <definedName name="WATERPUMP">'[11]An. Alat'!$A$534:$J$592</definedName>
    <definedName name="WATERTANK33" localSheetId="1">#REF!</definedName>
    <definedName name="WATERTANK33" localSheetId="7">#REF!</definedName>
    <definedName name="WATERTANK33" localSheetId="8">#REF!</definedName>
    <definedName name="WATERTANK33" localSheetId="16">#REF!</definedName>
    <definedName name="WATERTANK33" localSheetId="9">#REF!</definedName>
    <definedName name="WATERTANK33">#REF!</definedName>
    <definedName name="WATERTANK511" localSheetId="7">#REF!</definedName>
    <definedName name="WATERTANK511" localSheetId="8">#REF!</definedName>
    <definedName name="WATERTANK511" localSheetId="16">#REF!</definedName>
    <definedName name="WATERTANK511" localSheetId="9">#REF!</definedName>
    <definedName name="WATERTANK511">#REF!</definedName>
    <definedName name="WATERTANK512" localSheetId="7">#REF!</definedName>
    <definedName name="WATERTANK512" localSheetId="8">#REF!</definedName>
    <definedName name="WATERTANK512" localSheetId="16">#REF!</definedName>
    <definedName name="WATERTANK512" localSheetId="9">#REF!</definedName>
    <definedName name="WATERTANK512">#REF!</definedName>
    <definedName name="WATERTANK521" localSheetId="7">#REF!</definedName>
    <definedName name="WATERTANK521" localSheetId="8">#REF!</definedName>
    <definedName name="WATERTANK521" localSheetId="16">#REF!</definedName>
    <definedName name="WATERTANK521" localSheetId="9">#REF!</definedName>
    <definedName name="WATERTANK521">#REF!</definedName>
    <definedName name="WATERTANKER">'[11]An. Alat'!$A$593:$J$651</definedName>
    <definedName name="wel" localSheetId="4">'[31]DU&amp;B'!#REF!</definedName>
    <definedName name="wel" localSheetId="1">'[31]DU&amp;B'!#REF!</definedName>
    <definedName name="wel" localSheetId="7">'[31]DU&amp;B'!#REF!</definedName>
    <definedName name="wel" localSheetId="8">'[31]DU&amp;B'!#REF!</definedName>
    <definedName name="wel" localSheetId="16">'[31]DU&amp;B'!#REF!</definedName>
    <definedName name="wel" localSheetId="9">'[31]DU&amp;B'!#REF!</definedName>
    <definedName name="wel">'[31]DU&amp;B'!#REF!</definedName>
    <definedName name="wffqwfqwr" localSheetId="1">[8]BPS!#REF!</definedName>
    <definedName name="wffqwfqwr" localSheetId="7">[8]BPS!#REF!</definedName>
    <definedName name="wffqwfqwr" localSheetId="8">[8]BPS!#REF!</definedName>
    <definedName name="wffqwfqwr" localSheetId="16">[8]BPS!#REF!</definedName>
    <definedName name="wffqwfqwr" localSheetId="0">[8]BPS!#REF!</definedName>
    <definedName name="wffqwfqwr" localSheetId="9">[8]BPS!#REF!</definedName>
    <definedName name="wffqwfqwr">[8]BPS!#REF!</definedName>
    <definedName name="WHEELLOADER">'[11]An. Alat'!$A$356:$J$414</definedName>
    <definedName name="WHELLLOADER511" localSheetId="1">#REF!</definedName>
    <definedName name="WHELLLOADER511" localSheetId="7">#REF!</definedName>
    <definedName name="WHELLLOADER511" localSheetId="8">#REF!</definedName>
    <definedName name="WHELLLOADER511" localSheetId="16">#REF!</definedName>
    <definedName name="WHELLLOADER511" localSheetId="9">#REF!</definedName>
    <definedName name="WHELLLOADER511">#REF!</definedName>
    <definedName name="WHELLLOADER512" localSheetId="7">#REF!</definedName>
    <definedName name="WHELLLOADER512" localSheetId="8">#REF!</definedName>
    <definedName name="WHELLLOADER512" localSheetId="16">#REF!</definedName>
    <definedName name="WHELLLOADER512" localSheetId="9">#REF!</definedName>
    <definedName name="WHELLLOADER512">#REF!</definedName>
    <definedName name="WHELLLOADER521" localSheetId="7">#REF!</definedName>
    <definedName name="WHELLLOADER521" localSheetId="8">#REF!</definedName>
    <definedName name="WHELLLOADER521" localSheetId="16">#REF!</definedName>
    <definedName name="WHELLLOADER521" localSheetId="9">#REF!</definedName>
    <definedName name="WHELLLOADER521">#REF!</definedName>
    <definedName name="wr" localSheetId="7">'[31]DU&amp;B'!#REF!</definedName>
    <definedName name="wr" localSheetId="8">'[31]DU&amp;B'!#REF!</definedName>
    <definedName name="wr" localSheetId="16">'[31]DU&amp;B'!#REF!</definedName>
    <definedName name="wr" localSheetId="9">'[31]DU&amp;B'!#REF!</definedName>
    <definedName name="wr">'[31]DU&amp;B'!#REF!</definedName>
    <definedName name="x" localSheetId="1">[8]BPS!#REF!</definedName>
    <definedName name="x" localSheetId="7">[8]BPS!#REF!</definedName>
    <definedName name="x" localSheetId="8">[8]BPS!#REF!</definedName>
    <definedName name="x" localSheetId="16">[8]BPS!#REF!</definedName>
    <definedName name="x" localSheetId="0">[8]BPS!#REF!</definedName>
    <definedName name="x" localSheetId="9">[8]BPS!#REF!</definedName>
    <definedName name="x">[8]BPS!#REF!</definedName>
    <definedName name="xx" localSheetId="1">#REF!</definedName>
    <definedName name="xx" localSheetId="7">#REF!</definedName>
    <definedName name="xx" localSheetId="8">#REF!</definedName>
    <definedName name="xx" localSheetId="16">#REF!</definedName>
    <definedName name="xx" localSheetId="0">#REF!</definedName>
    <definedName name="xx" localSheetId="9">#REF!</definedName>
    <definedName name="xx">#REF!</definedName>
    <definedName name="Y" localSheetId="7">#REF!</definedName>
    <definedName name="Y" localSheetId="8">#REF!</definedName>
    <definedName name="Y" localSheetId="16">#REF!</definedName>
    <definedName name="Y" localSheetId="9">#REF!</definedName>
    <definedName name="Y">#REF!</definedName>
    <definedName name="yee">'[3]Upah&amp;Bahan'!$C$18</definedName>
    <definedName name="z" localSheetId="1">#REF!</definedName>
    <definedName name="z" localSheetId="7">#REF!</definedName>
    <definedName name="z" localSheetId="8">#REF!</definedName>
    <definedName name="z" localSheetId="16">#REF!</definedName>
    <definedName name="z" localSheetId="9">#REF!</definedName>
    <definedName name="z">#REF!</definedName>
    <definedName name="Z_F839FC9A_7C90_4EAF_87D8_67790108B2B5_.wvu.PrintArea" localSheetId="2" hidden="1">REKAP!$C$3:$H$42</definedName>
    <definedName name="Z_F839FC9A_7C90_4EAF_87D8_67790108B2B5_.wvu.Rows" localSheetId="2" hidden="1">REKAP!#REF!</definedName>
    <definedName name="Zincrinch" localSheetId="7">'[18]harga lama'!#REF!</definedName>
    <definedName name="Zincrinch" localSheetId="8">'[18]harga lama'!#REF!</definedName>
    <definedName name="Zincrinch" localSheetId="16">'[18]harga lama'!#REF!</definedName>
    <definedName name="Zincrinch" localSheetId="9">'[18]harga lama'!#REF!</definedName>
    <definedName name="Zincrinch">'[18]harga lama'!#REF!</definedName>
  </definedNames>
  <calcPr calcId="191029"/>
  <customWorkbookViews>
    <customWorkbookView name="MICROSOFT - Personal View" guid="{F839FC9A-7C90-4EAF-87D8-67790108B2B5}" mergeInterval="0" personalView="1" maximized="1" windowWidth="1020" windowHeight="569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058" i="102" l="1"/>
  <c r="L605" i="118" l="1"/>
  <c r="L604" i="118"/>
  <c r="L603" i="118"/>
  <c r="L602" i="118"/>
  <c r="L599" i="118"/>
  <c r="L598" i="118"/>
  <c r="L596" i="118"/>
  <c r="L595" i="118"/>
  <c r="L587" i="118"/>
  <c r="L582" i="118"/>
  <c r="L575" i="118"/>
  <c r="L552" i="118"/>
  <c r="L549" i="118"/>
  <c r="L548" i="118"/>
  <c r="L532" i="118"/>
  <c r="L515" i="118"/>
  <c r="L497" i="118"/>
  <c r="L479" i="118"/>
  <c r="L478" i="118"/>
  <c r="L477" i="118"/>
  <c r="L474" i="118"/>
  <c r="L473" i="118"/>
  <c r="L463" i="118"/>
  <c r="L462" i="118"/>
  <c r="L461" i="118"/>
  <c r="L458" i="118"/>
  <c r="L455" i="118"/>
  <c r="L454" i="118"/>
  <c r="L453" i="118"/>
  <c r="L444" i="118"/>
  <c r="L419" i="118"/>
  <c r="L416" i="118"/>
  <c r="L415" i="118"/>
  <c r="L399" i="118"/>
  <c r="L391" i="118"/>
  <c r="L385" i="118"/>
  <c r="L384" i="118"/>
  <c r="L381" i="118"/>
  <c r="L345" i="118"/>
  <c r="L344" i="118"/>
  <c r="L310" i="118"/>
  <c r="L309" i="118"/>
  <c r="L275" i="118"/>
  <c r="L274" i="118"/>
  <c r="L239" i="118"/>
  <c r="L238" i="118"/>
  <c r="L211" i="118"/>
  <c r="L210" i="118"/>
  <c r="L179" i="118"/>
  <c r="L178" i="118"/>
  <c r="L153" i="118"/>
  <c r="L152" i="118"/>
  <c r="L127" i="118"/>
  <c r="L126" i="118"/>
  <c r="L88" i="118"/>
  <c r="L87" i="118"/>
  <c r="L86" i="118"/>
  <c r="L26" i="118"/>
  <c r="L25" i="118"/>
  <c r="L24" i="118"/>
  <c r="L23" i="118"/>
  <c r="L22" i="118"/>
  <c r="L21" i="118"/>
  <c r="L20" i="118"/>
  <c r="L19" i="118"/>
  <c r="L18" i="118"/>
  <c r="J34" i="118"/>
  <c r="J605" i="118"/>
  <c r="I605" i="118"/>
  <c r="H605" i="118"/>
  <c r="J604" i="118"/>
  <c r="I604" i="118"/>
  <c r="H604" i="118"/>
  <c r="J603" i="118"/>
  <c r="I603" i="118"/>
  <c r="H603" i="118"/>
  <c r="J602" i="118"/>
  <c r="I602" i="118"/>
  <c r="H602" i="118"/>
  <c r="J599" i="118"/>
  <c r="I599" i="118"/>
  <c r="H599" i="118"/>
  <c r="J598" i="118"/>
  <c r="I598" i="118"/>
  <c r="H598" i="118"/>
  <c r="J596" i="118"/>
  <c r="I596" i="118"/>
  <c r="H596" i="118"/>
  <c r="J595" i="118"/>
  <c r="I595" i="118"/>
  <c r="H595" i="118"/>
  <c r="J594" i="118"/>
  <c r="I594" i="118"/>
  <c r="H594" i="118"/>
  <c r="J589" i="118"/>
  <c r="I589" i="118"/>
  <c r="H589" i="118"/>
  <c r="J588" i="118"/>
  <c r="I588" i="118"/>
  <c r="H588" i="118"/>
  <c r="J587" i="118"/>
  <c r="I587" i="118"/>
  <c r="J586" i="118"/>
  <c r="I586" i="118"/>
  <c r="H586" i="118"/>
  <c r="J582" i="118"/>
  <c r="I582" i="118"/>
  <c r="H582" i="118"/>
  <c r="J578" i="118"/>
  <c r="J575" i="118"/>
  <c r="I575" i="118"/>
  <c r="H575" i="118"/>
  <c r="J574" i="118"/>
  <c r="I574" i="118"/>
  <c r="H574" i="118"/>
  <c r="J573" i="118"/>
  <c r="I573" i="118"/>
  <c r="H573" i="118"/>
  <c r="J572" i="118"/>
  <c r="I572" i="118"/>
  <c r="H572" i="118"/>
  <c r="J571" i="118"/>
  <c r="I571" i="118"/>
  <c r="H571" i="118"/>
  <c r="J568" i="118"/>
  <c r="I568" i="118"/>
  <c r="H568" i="118"/>
  <c r="J567" i="118"/>
  <c r="I567" i="118"/>
  <c r="H567" i="118"/>
  <c r="J566" i="118"/>
  <c r="I566" i="118"/>
  <c r="J563" i="118"/>
  <c r="I563" i="118"/>
  <c r="H563" i="118"/>
  <c r="J562" i="118"/>
  <c r="I562" i="118"/>
  <c r="H562" i="118"/>
  <c r="J561" i="118"/>
  <c r="I561" i="118"/>
  <c r="H561" i="118"/>
  <c r="J560" i="118"/>
  <c r="I560" i="118"/>
  <c r="H560" i="118"/>
  <c r="J559" i="118"/>
  <c r="I559" i="118"/>
  <c r="H559" i="118"/>
  <c r="J558" i="118"/>
  <c r="I558" i="118"/>
  <c r="H558" i="118"/>
  <c r="J557" i="118"/>
  <c r="I557" i="118"/>
  <c r="H557" i="118"/>
  <c r="J554" i="118"/>
  <c r="I554" i="118"/>
  <c r="J553" i="118"/>
  <c r="I553" i="118"/>
  <c r="J552" i="118"/>
  <c r="I552" i="118"/>
  <c r="J549" i="118"/>
  <c r="I549" i="118"/>
  <c r="H549" i="118"/>
  <c r="J548" i="118"/>
  <c r="I548" i="118"/>
  <c r="H548" i="118"/>
  <c r="J545" i="118"/>
  <c r="I545" i="118"/>
  <c r="J544" i="118"/>
  <c r="I544" i="118"/>
  <c r="J543" i="118"/>
  <c r="I543" i="118"/>
  <c r="J542" i="118"/>
  <c r="I542" i="118"/>
  <c r="J541" i="118"/>
  <c r="I541" i="118"/>
  <c r="J538" i="118"/>
  <c r="J537" i="118"/>
  <c r="J536" i="118"/>
  <c r="J535" i="118"/>
  <c r="J534" i="118"/>
  <c r="J532" i="118"/>
  <c r="J526" i="118"/>
  <c r="I526" i="118"/>
  <c r="J525" i="118"/>
  <c r="I525" i="118"/>
  <c r="H525" i="118"/>
  <c r="J524" i="118"/>
  <c r="I524" i="118"/>
  <c r="H524" i="118"/>
  <c r="J520" i="118"/>
  <c r="I520" i="118"/>
  <c r="J517" i="118"/>
  <c r="I517" i="118"/>
  <c r="J516" i="118"/>
  <c r="I516" i="118"/>
  <c r="J515" i="118"/>
  <c r="I515" i="118"/>
  <c r="H515" i="118"/>
  <c r="J512" i="118"/>
  <c r="I512" i="118"/>
  <c r="H512" i="118"/>
  <c r="J509" i="118"/>
  <c r="I509" i="118"/>
  <c r="H509" i="118"/>
  <c r="J508" i="118"/>
  <c r="I508" i="118"/>
  <c r="H508" i="118"/>
  <c r="J507" i="118"/>
  <c r="I507" i="118"/>
  <c r="J502" i="118"/>
  <c r="I502" i="118"/>
  <c r="J499" i="118"/>
  <c r="I499" i="118"/>
  <c r="H499" i="118"/>
  <c r="J498" i="118"/>
  <c r="I498" i="118"/>
  <c r="J497" i="118"/>
  <c r="I497" i="118"/>
  <c r="H497" i="118"/>
  <c r="J494" i="118"/>
  <c r="I494" i="118"/>
  <c r="H494" i="118"/>
  <c r="J493" i="118"/>
  <c r="I493" i="118"/>
  <c r="H493" i="118"/>
  <c r="J490" i="118"/>
  <c r="I490" i="118"/>
  <c r="H490" i="118"/>
  <c r="J489" i="118"/>
  <c r="I489" i="118"/>
  <c r="H489" i="118"/>
  <c r="J488" i="118"/>
  <c r="I488" i="118"/>
  <c r="J483" i="118"/>
  <c r="I483" i="118"/>
  <c r="H483" i="118"/>
  <c r="J480" i="118"/>
  <c r="J479" i="118"/>
  <c r="I479" i="118"/>
  <c r="J478" i="118"/>
  <c r="I478" i="118"/>
  <c r="H478" i="118"/>
  <c r="J477" i="118"/>
  <c r="I477" i="118"/>
  <c r="H477" i="118"/>
  <c r="J474" i="118"/>
  <c r="I474" i="118"/>
  <c r="H474" i="118"/>
  <c r="J473" i="118"/>
  <c r="I473" i="118"/>
  <c r="H473" i="118"/>
  <c r="J468" i="118"/>
  <c r="J465" i="118"/>
  <c r="J464" i="118"/>
  <c r="J463" i="118"/>
  <c r="J462" i="118"/>
  <c r="I462" i="118"/>
  <c r="H462" i="118"/>
  <c r="J461" i="118"/>
  <c r="I461" i="118"/>
  <c r="H461" i="118"/>
  <c r="J458" i="118"/>
  <c r="I458" i="118"/>
  <c r="H458" i="118"/>
  <c r="J455" i="118"/>
  <c r="I455" i="118"/>
  <c r="J454" i="118"/>
  <c r="I454" i="118"/>
  <c r="J453" i="118"/>
  <c r="I453" i="118"/>
  <c r="J447" i="118"/>
  <c r="I447" i="118"/>
  <c r="J444" i="118"/>
  <c r="I444" i="118"/>
  <c r="H444" i="118"/>
  <c r="J443" i="118"/>
  <c r="I443" i="118"/>
  <c r="H443" i="118"/>
  <c r="J442" i="118"/>
  <c r="I442" i="118"/>
  <c r="H442" i="118"/>
  <c r="J441" i="118"/>
  <c r="I441" i="118"/>
  <c r="H441" i="118"/>
  <c r="J440" i="118"/>
  <c r="I440" i="118"/>
  <c r="H440" i="118"/>
  <c r="J437" i="118"/>
  <c r="I437" i="118"/>
  <c r="H437" i="118"/>
  <c r="J436" i="118"/>
  <c r="I436" i="118"/>
  <c r="H436" i="118"/>
  <c r="J435" i="118"/>
  <c r="I435" i="118"/>
  <c r="H435" i="118"/>
  <c r="J434" i="118"/>
  <c r="I434" i="118"/>
  <c r="J431" i="118"/>
  <c r="I431" i="118"/>
  <c r="H431" i="118"/>
  <c r="J430" i="118"/>
  <c r="I430" i="118"/>
  <c r="H430" i="118"/>
  <c r="J429" i="118"/>
  <c r="I429" i="118"/>
  <c r="H429" i="118"/>
  <c r="J428" i="118"/>
  <c r="I428" i="118"/>
  <c r="H428" i="118"/>
  <c r="J427" i="118"/>
  <c r="I427" i="118"/>
  <c r="H427" i="118"/>
  <c r="J426" i="118"/>
  <c r="I426" i="118"/>
  <c r="H426" i="118"/>
  <c r="J425" i="118"/>
  <c r="I425" i="118"/>
  <c r="H425" i="118"/>
  <c r="J424" i="118"/>
  <c r="I424" i="118"/>
  <c r="H424" i="118"/>
  <c r="J421" i="118"/>
  <c r="I421" i="118"/>
  <c r="J420" i="118"/>
  <c r="I420" i="118"/>
  <c r="J419" i="118"/>
  <c r="I419" i="118"/>
  <c r="J416" i="118"/>
  <c r="I416" i="118"/>
  <c r="H416" i="118"/>
  <c r="J415" i="118"/>
  <c r="I415" i="118"/>
  <c r="H415" i="118"/>
  <c r="J412" i="118"/>
  <c r="I412" i="118"/>
  <c r="J411" i="118"/>
  <c r="I411" i="118"/>
  <c r="J410" i="118"/>
  <c r="I410" i="118"/>
  <c r="J409" i="118"/>
  <c r="I409" i="118"/>
  <c r="J408" i="118"/>
  <c r="I408" i="118"/>
  <c r="J405" i="118"/>
  <c r="J404" i="118"/>
  <c r="J403" i="118"/>
  <c r="J402" i="118"/>
  <c r="J401" i="118"/>
  <c r="J399" i="118"/>
  <c r="I399" i="118"/>
  <c r="H399" i="118"/>
  <c r="J394" i="118"/>
  <c r="I394" i="118"/>
  <c r="H394" i="118"/>
  <c r="J391" i="118"/>
  <c r="I391" i="118"/>
  <c r="J390" i="118"/>
  <c r="I390" i="118"/>
  <c r="H390" i="118"/>
  <c r="J389" i="118"/>
  <c r="I389" i="118"/>
  <c r="H389" i="118"/>
  <c r="J388" i="118"/>
  <c r="I388" i="118"/>
  <c r="H388" i="118"/>
  <c r="J385" i="118"/>
  <c r="I385" i="118"/>
  <c r="H385" i="118"/>
  <c r="J384" i="118"/>
  <c r="I384" i="118"/>
  <c r="H384" i="118"/>
  <c r="J381" i="118"/>
  <c r="I381" i="118"/>
  <c r="J374" i="118"/>
  <c r="J371" i="118"/>
  <c r="J370" i="118"/>
  <c r="J367" i="118"/>
  <c r="I367" i="118"/>
  <c r="H367" i="118"/>
  <c r="J366" i="118"/>
  <c r="I366" i="118"/>
  <c r="H366" i="118"/>
  <c r="J365" i="118"/>
  <c r="I365" i="118"/>
  <c r="H365" i="118"/>
  <c r="J364" i="118"/>
  <c r="I364" i="118"/>
  <c r="H364" i="118"/>
  <c r="J363" i="118"/>
  <c r="I363" i="118"/>
  <c r="H363" i="118"/>
  <c r="J362" i="118"/>
  <c r="I362" i="118"/>
  <c r="H362" i="118"/>
  <c r="J359" i="118"/>
  <c r="I359" i="118"/>
  <c r="H359" i="118"/>
  <c r="J358" i="118"/>
  <c r="I358" i="118"/>
  <c r="H358" i="118"/>
  <c r="J357" i="118"/>
  <c r="I357" i="118"/>
  <c r="H357" i="118"/>
  <c r="J354" i="118"/>
  <c r="J353" i="118"/>
  <c r="I353" i="118"/>
  <c r="J350" i="118"/>
  <c r="J349" i="118"/>
  <c r="J348" i="118"/>
  <c r="J345" i="118"/>
  <c r="J344" i="118"/>
  <c r="J339" i="118"/>
  <c r="J336" i="118"/>
  <c r="J335" i="118"/>
  <c r="J332" i="118"/>
  <c r="I332" i="118"/>
  <c r="H332" i="118"/>
  <c r="J331" i="118"/>
  <c r="I331" i="118"/>
  <c r="H331" i="118"/>
  <c r="J330" i="118"/>
  <c r="I330" i="118"/>
  <c r="H330" i="118"/>
  <c r="J329" i="118"/>
  <c r="I329" i="118"/>
  <c r="H329" i="118"/>
  <c r="J328" i="118"/>
  <c r="I328" i="118"/>
  <c r="H328" i="118"/>
  <c r="J327" i="118"/>
  <c r="I327" i="118"/>
  <c r="H327" i="118"/>
  <c r="J324" i="118"/>
  <c r="J323" i="118"/>
  <c r="J322" i="118"/>
  <c r="J319" i="118"/>
  <c r="J318" i="118"/>
  <c r="I318" i="118"/>
  <c r="J315" i="118"/>
  <c r="J314" i="118"/>
  <c r="J313" i="118"/>
  <c r="J310" i="118"/>
  <c r="J309" i="118"/>
  <c r="J304" i="118"/>
  <c r="J301" i="118"/>
  <c r="J300" i="118"/>
  <c r="J297" i="118"/>
  <c r="I297" i="118"/>
  <c r="H297" i="118"/>
  <c r="J296" i="118"/>
  <c r="I296" i="118"/>
  <c r="H296" i="118"/>
  <c r="J295" i="118"/>
  <c r="I295" i="118"/>
  <c r="H295" i="118"/>
  <c r="J294" i="118"/>
  <c r="I294" i="118"/>
  <c r="H294" i="118"/>
  <c r="J293" i="118"/>
  <c r="I293" i="118"/>
  <c r="H293" i="118"/>
  <c r="J292" i="118"/>
  <c r="I292" i="118"/>
  <c r="H292" i="118"/>
  <c r="J289" i="118"/>
  <c r="J288" i="118"/>
  <c r="J287" i="118"/>
  <c r="J284" i="118"/>
  <c r="J283" i="118"/>
  <c r="I283" i="118"/>
  <c r="J280" i="118"/>
  <c r="J279" i="118"/>
  <c r="J278" i="118"/>
  <c r="J275" i="118"/>
  <c r="J274" i="118"/>
  <c r="J269" i="118"/>
  <c r="I269" i="118"/>
  <c r="J268" i="118"/>
  <c r="J265" i="118"/>
  <c r="J264" i="118"/>
  <c r="J261" i="118"/>
  <c r="I261" i="118"/>
  <c r="H261" i="118"/>
  <c r="J260" i="118"/>
  <c r="I260" i="118"/>
  <c r="H260" i="118"/>
  <c r="J259" i="118"/>
  <c r="I259" i="118"/>
  <c r="H259" i="118"/>
  <c r="J258" i="118"/>
  <c r="I258" i="118"/>
  <c r="H258" i="118"/>
  <c r="J257" i="118"/>
  <c r="I257" i="118"/>
  <c r="H257" i="118"/>
  <c r="J256" i="118"/>
  <c r="I256" i="118"/>
  <c r="H256" i="118"/>
  <c r="J253" i="118"/>
  <c r="J252" i="118"/>
  <c r="J251" i="118"/>
  <c r="J248" i="118"/>
  <c r="J247" i="118"/>
  <c r="I247" i="118"/>
  <c r="J244" i="118"/>
  <c r="J243" i="118"/>
  <c r="J242" i="118"/>
  <c r="J239" i="118"/>
  <c r="J238" i="118"/>
  <c r="J231" i="118"/>
  <c r="J228" i="118"/>
  <c r="J227" i="118"/>
  <c r="J224" i="118"/>
  <c r="J223" i="118"/>
  <c r="J222" i="118"/>
  <c r="J219" i="118"/>
  <c r="J218" i="118"/>
  <c r="I218" i="118"/>
  <c r="J215" i="118"/>
  <c r="J214" i="118"/>
  <c r="J211" i="118"/>
  <c r="J210" i="118"/>
  <c r="J205" i="118"/>
  <c r="J204" i="118"/>
  <c r="J201" i="118"/>
  <c r="J200" i="118"/>
  <c r="J197" i="118"/>
  <c r="J196" i="118"/>
  <c r="J195" i="118"/>
  <c r="J192" i="118"/>
  <c r="J191" i="118"/>
  <c r="I191" i="118"/>
  <c r="J188" i="118"/>
  <c r="J187" i="118"/>
  <c r="J186" i="118"/>
  <c r="J183" i="118"/>
  <c r="J182" i="118"/>
  <c r="J179" i="118"/>
  <c r="J178" i="118"/>
  <c r="J173" i="118"/>
  <c r="J170" i="118"/>
  <c r="J169" i="118"/>
  <c r="J166" i="118"/>
  <c r="J165" i="118"/>
  <c r="J164" i="118"/>
  <c r="J161" i="118"/>
  <c r="J160" i="118"/>
  <c r="I160" i="118"/>
  <c r="J157" i="118"/>
  <c r="J156" i="118"/>
  <c r="J153" i="118"/>
  <c r="J152" i="118"/>
  <c r="J147" i="118"/>
  <c r="J144" i="118"/>
  <c r="J143" i="118"/>
  <c r="J140" i="118"/>
  <c r="J139" i="118"/>
  <c r="J138" i="118"/>
  <c r="J135" i="118"/>
  <c r="J134" i="118"/>
  <c r="I134" i="118"/>
  <c r="J131" i="118"/>
  <c r="H131" i="118"/>
  <c r="J130" i="118"/>
  <c r="H130" i="118"/>
  <c r="J127" i="118"/>
  <c r="J126" i="118"/>
  <c r="J119" i="118"/>
  <c r="J118" i="118"/>
  <c r="J117" i="118"/>
  <c r="J113" i="118"/>
  <c r="H113" i="118"/>
  <c r="J109" i="118"/>
  <c r="J108" i="118"/>
  <c r="J107" i="118"/>
  <c r="J103" i="118"/>
  <c r="J102" i="118"/>
  <c r="J98" i="118"/>
  <c r="J97" i="118"/>
  <c r="J96" i="118"/>
  <c r="J95" i="118"/>
  <c r="J94" i="118"/>
  <c r="J93" i="118"/>
  <c r="J88" i="118"/>
  <c r="J87" i="118"/>
  <c r="J86" i="118"/>
  <c r="J80" i="118"/>
  <c r="J79" i="118"/>
  <c r="J78" i="118"/>
  <c r="J74" i="118"/>
  <c r="J73" i="118"/>
  <c r="J72" i="118"/>
  <c r="J68" i="118"/>
  <c r="J67" i="118"/>
  <c r="J66" i="118"/>
  <c r="J62" i="118"/>
  <c r="J61" i="118"/>
  <c r="J60" i="118"/>
  <c r="J59" i="118"/>
  <c r="J58" i="118"/>
  <c r="J54" i="118"/>
  <c r="J53" i="118"/>
  <c r="J52" i="118"/>
  <c r="J51" i="118"/>
  <c r="J50" i="118"/>
  <c r="J44" i="118"/>
  <c r="J43" i="118"/>
  <c r="J42" i="118"/>
  <c r="J41" i="118"/>
  <c r="J40" i="118"/>
  <c r="J36" i="118"/>
  <c r="J35" i="118"/>
  <c r="J33" i="118"/>
  <c r="J32" i="118"/>
  <c r="J31" i="118"/>
  <c r="J26" i="118"/>
  <c r="I26" i="118"/>
  <c r="H26" i="118"/>
  <c r="J25" i="118"/>
  <c r="I25" i="118"/>
  <c r="H25" i="118"/>
  <c r="J24" i="118"/>
  <c r="I24" i="118"/>
  <c r="H24" i="118"/>
  <c r="J23" i="118"/>
  <c r="I23" i="118"/>
  <c r="H23" i="118"/>
  <c r="J22" i="118"/>
  <c r="I22" i="118"/>
  <c r="H22" i="118"/>
  <c r="J21" i="118"/>
  <c r="I21" i="118"/>
  <c r="H21" i="118"/>
  <c r="J20" i="118"/>
  <c r="I20" i="118"/>
  <c r="H20" i="118"/>
  <c r="J19" i="118"/>
  <c r="I19" i="118"/>
  <c r="H19" i="118"/>
  <c r="J18" i="118"/>
  <c r="I18" i="118"/>
  <c r="H18" i="118"/>
  <c r="M580" i="48" l="1"/>
  <c r="O604" i="48"/>
  <c r="O605" i="48" s="1"/>
  <c r="O607" i="48" s="1"/>
  <c r="E85" i="103"/>
  <c r="E86" i="103"/>
  <c r="G1871" i="102"/>
  <c r="H1871" i="102"/>
  <c r="H1870" i="102"/>
  <c r="K1872" i="102"/>
  <c r="I1872" i="102"/>
  <c r="G1870" i="102"/>
  <c r="I78" i="48"/>
  <c r="I80" i="118" s="1"/>
  <c r="I77" i="48"/>
  <c r="I79" i="118" s="1"/>
  <c r="I76" i="48"/>
  <c r="I78" i="118" s="1"/>
  <c r="U55" i="114"/>
  <c r="U53" i="114"/>
  <c r="C44" i="114"/>
  <c r="C45" i="114"/>
  <c r="C46" i="114"/>
  <c r="I70" i="48"/>
  <c r="I72" i="118" s="1"/>
  <c r="I71" i="48"/>
  <c r="I73" i="118" s="1"/>
  <c r="I72" i="48"/>
  <c r="I74" i="118" s="1"/>
  <c r="D53" i="114"/>
  <c r="E53" i="114"/>
  <c r="D54" i="114"/>
  <c r="E54" i="114"/>
  <c r="D55" i="114"/>
  <c r="E55" i="114"/>
  <c r="C48" i="114"/>
  <c r="D48" i="114"/>
  <c r="P55" i="114"/>
  <c r="H72" i="48" s="1"/>
  <c r="H74" i="118" s="1"/>
  <c r="H54" i="114"/>
  <c r="P54" i="114" s="1"/>
  <c r="R54" i="114" s="1"/>
  <c r="H71" i="48" s="1"/>
  <c r="H73" i="118" s="1"/>
  <c r="J53" i="114"/>
  <c r="H53" i="114"/>
  <c r="N51" i="114"/>
  <c r="N50" i="114"/>
  <c r="K1795" i="102"/>
  <c r="K1794" i="102"/>
  <c r="K1793" i="102"/>
  <c r="G1793" i="102"/>
  <c r="K1792" i="102"/>
  <c r="K1791" i="102"/>
  <c r="K1790" i="102"/>
  <c r="I1790" i="102"/>
  <c r="K1789" i="102"/>
  <c r="K1788" i="102"/>
  <c r="K1787" i="102"/>
  <c r="K1786" i="102"/>
  <c r="K1785" i="102"/>
  <c r="K1784" i="102"/>
  <c r="K1783" i="102"/>
  <c r="K1782" i="102"/>
  <c r="H1782" i="102"/>
  <c r="I1782" i="102" s="1"/>
  <c r="K1781" i="102"/>
  <c r="H1781" i="102"/>
  <c r="I1781" i="102" s="1"/>
  <c r="K1780" i="102"/>
  <c r="K1779" i="102"/>
  <c r="H1779" i="102"/>
  <c r="I1779" i="102" s="1"/>
  <c r="K1778" i="102"/>
  <c r="K1777" i="102"/>
  <c r="A1776" i="102"/>
  <c r="K1776" i="102" s="1"/>
  <c r="P53" i="114" l="1"/>
  <c r="R53" i="114" s="1"/>
  <c r="H70" i="48" s="1"/>
  <c r="H72" i="118" s="1"/>
  <c r="H1873" i="102"/>
  <c r="U57" i="114"/>
  <c r="L1156" i="102"/>
  <c r="M1156" i="102" s="1"/>
  <c r="L1157" i="102"/>
  <c r="M1157" i="102" s="1"/>
  <c r="L1158" i="102"/>
  <c r="M1158" i="102" s="1"/>
  <c r="L1159" i="102"/>
  <c r="M1159" i="102" s="1"/>
  <c r="I1166" i="102"/>
  <c r="I1189" i="102"/>
  <c r="P76" i="82"/>
  <c r="P75" i="82"/>
  <c r="P74" i="82"/>
  <c r="P77" i="82" s="1"/>
  <c r="R73" i="82" s="1"/>
  <c r="H1162" i="102"/>
  <c r="I1162" i="102" s="1"/>
  <c r="H1163" i="102"/>
  <c r="I1163" i="102" s="1"/>
  <c r="H1164" i="102"/>
  <c r="I1164" i="102" s="1"/>
  <c r="H1165" i="102"/>
  <c r="I1165" i="102" s="1"/>
  <c r="H1156" i="102"/>
  <c r="I1156" i="102" s="1"/>
  <c r="E12" i="103"/>
  <c r="E13" i="103" s="1"/>
  <c r="H1158" i="102"/>
  <c r="I1158" i="102" s="1"/>
  <c r="H1159" i="102"/>
  <c r="I1159" i="102" s="1"/>
  <c r="I1170" i="102"/>
  <c r="I1193" i="102"/>
  <c r="H1185" i="102"/>
  <c r="I1185" i="102" s="1"/>
  <c r="H1186" i="102"/>
  <c r="I1186" i="102" s="1"/>
  <c r="H1187" i="102"/>
  <c r="I1187" i="102" s="1"/>
  <c r="H1188" i="102"/>
  <c r="I1188" i="102" s="1"/>
  <c r="H1179" i="102"/>
  <c r="I1179" i="102" s="1"/>
  <c r="H1181" i="102"/>
  <c r="I1181" i="102" s="1"/>
  <c r="H1182" i="102"/>
  <c r="I1182" i="102" s="1"/>
  <c r="U33" i="114"/>
  <c r="U34" i="114"/>
  <c r="U33" i="109"/>
  <c r="U34" i="109" s="1"/>
  <c r="U36" i="109" s="1"/>
  <c r="G1752" i="102"/>
  <c r="I1748" i="102"/>
  <c r="H1743" i="102"/>
  <c r="I1743" i="102" s="1"/>
  <c r="A1740" i="102"/>
  <c r="U36" i="114"/>
  <c r="H50" i="109"/>
  <c r="H45" i="109"/>
  <c r="H32" i="109"/>
  <c r="L32" i="109" s="1"/>
  <c r="H31" i="109"/>
  <c r="J43" i="109"/>
  <c r="J41" i="109"/>
  <c r="M549" i="118"/>
  <c r="P549" i="118" s="1"/>
  <c r="Q549" i="118" s="1"/>
  <c r="M477" i="118"/>
  <c r="P477" i="118" s="1"/>
  <c r="Q477" i="118" s="1"/>
  <c r="M473" i="118"/>
  <c r="P473" i="118" s="1"/>
  <c r="M416" i="118"/>
  <c r="P416" i="118" s="1"/>
  <c r="M415" i="118"/>
  <c r="P415" i="118"/>
  <c r="Q415" i="118" s="1"/>
  <c r="M399" i="118"/>
  <c r="P399" i="118"/>
  <c r="Q399" i="118"/>
  <c r="M21" i="118"/>
  <c r="P21" i="118" s="1"/>
  <c r="M20" i="118"/>
  <c r="P20" i="118" s="1"/>
  <c r="Q20" i="118" s="1"/>
  <c r="B5" i="118"/>
  <c r="B4" i="118"/>
  <c r="M605" i="118"/>
  <c r="P605" i="118" s="1"/>
  <c r="M604" i="118"/>
  <c r="P604" i="118" s="1"/>
  <c r="M603" i="118"/>
  <c r="P603" i="118" s="1"/>
  <c r="M602" i="118"/>
  <c r="P602" i="118" s="1"/>
  <c r="Q602" i="118" s="1"/>
  <c r="M599" i="118"/>
  <c r="P599" i="118" s="1"/>
  <c r="M598" i="118"/>
  <c r="P598" i="118" s="1"/>
  <c r="M596" i="118"/>
  <c r="P596" i="118" s="1"/>
  <c r="Q596" i="118" s="1"/>
  <c r="M595" i="118"/>
  <c r="P595" i="118" s="1"/>
  <c r="Q595" i="118" s="1"/>
  <c r="P22" i="116"/>
  <c r="R22" i="116" s="1"/>
  <c r="P21" i="116"/>
  <c r="R21" i="116" s="1"/>
  <c r="P20" i="116"/>
  <c r="R20" i="116" s="1"/>
  <c r="R19" i="116"/>
  <c r="P18" i="116"/>
  <c r="R18" i="116" s="1"/>
  <c r="M575" i="118"/>
  <c r="P575" i="118" s="1"/>
  <c r="M548" i="118"/>
  <c r="P548" i="118" s="1"/>
  <c r="P169" i="107"/>
  <c r="R169" i="107" s="1"/>
  <c r="H166" i="107"/>
  <c r="P146" i="107"/>
  <c r="P148" i="107" s="1"/>
  <c r="P147" i="107"/>
  <c r="H167" i="107"/>
  <c r="P160" i="107"/>
  <c r="J162" i="107" s="1"/>
  <c r="J159" i="107"/>
  <c r="J163" i="107"/>
  <c r="J154" i="107"/>
  <c r="J156" i="107" s="1"/>
  <c r="M515" i="118"/>
  <c r="P515" i="118" s="1"/>
  <c r="Q515" i="118" s="1"/>
  <c r="M497" i="118"/>
  <c r="P497" i="118" s="1"/>
  <c r="Q497" i="118" s="1"/>
  <c r="M478" i="118"/>
  <c r="P478" i="118" s="1"/>
  <c r="M474" i="118"/>
  <c r="P474" i="118" s="1"/>
  <c r="M462" i="118"/>
  <c r="P462" i="118" s="1"/>
  <c r="M461" i="118"/>
  <c r="P461" i="118"/>
  <c r="M458" i="118"/>
  <c r="P458" i="118" s="1"/>
  <c r="M444" i="118"/>
  <c r="P444" i="118" s="1"/>
  <c r="P61" i="107"/>
  <c r="R61" i="107" s="1"/>
  <c r="H58" i="107"/>
  <c r="P38" i="107"/>
  <c r="P39" i="107"/>
  <c r="P40" i="107"/>
  <c r="L59" i="107" s="1"/>
  <c r="L58" i="107"/>
  <c r="P58" i="107" s="1"/>
  <c r="H59" i="107"/>
  <c r="P52" i="107"/>
  <c r="J54" i="107" s="1"/>
  <c r="J51" i="107"/>
  <c r="J55" i="107" s="1"/>
  <c r="J46" i="107"/>
  <c r="J48" i="107" s="1"/>
  <c r="L41" i="107"/>
  <c r="P41" i="107"/>
  <c r="R37" i="107" s="1"/>
  <c r="M385" i="118"/>
  <c r="P385" i="118"/>
  <c r="M384" i="118"/>
  <c r="P384" i="118" s="1"/>
  <c r="Q384" i="118" s="1"/>
  <c r="L180" i="106"/>
  <c r="P180" i="106" s="1"/>
  <c r="P182" i="106" s="1"/>
  <c r="R178" i="106" s="1"/>
  <c r="P181" i="106"/>
  <c r="P149" i="106"/>
  <c r="P153" i="106"/>
  <c r="P156" i="106" s="1"/>
  <c r="R147" i="106" s="1"/>
  <c r="P160" i="106"/>
  <c r="R158" i="106" s="1"/>
  <c r="L138" i="106"/>
  <c r="P138" i="106" s="1"/>
  <c r="P139" i="106"/>
  <c r="P108" i="106"/>
  <c r="P115" i="106" s="1"/>
  <c r="R106" i="106" s="1"/>
  <c r="P112" i="106"/>
  <c r="P119" i="106"/>
  <c r="R117" i="106" s="1"/>
  <c r="L97" i="106"/>
  <c r="P97" i="106"/>
  <c r="P98" i="106"/>
  <c r="P99" i="106" s="1"/>
  <c r="R95" i="106" s="1"/>
  <c r="P65" i="106"/>
  <c r="P69" i="106"/>
  <c r="P76" i="106"/>
  <c r="R74" i="106" s="1"/>
  <c r="L54" i="106"/>
  <c r="P54" i="106" s="1"/>
  <c r="P56" i="106" s="1"/>
  <c r="R52" i="106" s="1"/>
  <c r="P55" i="106"/>
  <c r="P23" i="106"/>
  <c r="P24" i="106"/>
  <c r="P25" i="106"/>
  <c r="P27" i="106"/>
  <c r="P28" i="106"/>
  <c r="P29" i="106"/>
  <c r="P34" i="106"/>
  <c r="R32" i="106" s="1"/>
  <c r="H241" i="48" s="1"/>
  <c r="H243" i="118" s="1"/>
  <c r="P154" i="105"/>
  <c r="P155" i="105"/>
  <c r="R145" i="105"/>
  <c r="P137" i="105"/>
  <c r="R135" i="105" s="1"/>
  <c r="P133" i="105"/>
  <c r="R131" i="105" s="1"/>
  <c r="H212" i="48" s="1"/>
  <c r="H214" i="118" s="1"/>
  <c r="P96" i="105"/>
  <c r="R94" i="105" s="1"/>
  <c r="L121" i="105"/>
  <c r="P121" i="105"/>
  <c r="P123" i="105" s="1"/>
  <c r="R119" i="105" s="1"/>
  <c r="P122" i="105"/>
  <c r="R112" i="105"/>
  <c r="P101" i="105"/>
  <c r="P102" i="105"/>
  <c r="P103" i="105"/>
  <c r="R99" i="105" s="1"/>
  <c r="P91" i="105"/>
  <c r="R89" i="105" s="1"/>
  <c r="P87" i="105"/>
  <c r="R85" i="105"/>
  <c r="P76" i="105"/>
  <c r="P78" i="105" s="1"/>
  <c r="R74" i="105" s="1"/>
  <c r="P77" i="105"/>
  <c r="R67" i="105"/>
  <c r="P59" i="105"/>
  <c r="R57" i="105"/>
  <c r="P55" i="105"/>
  <c r="R53" i="105" s="1"/>
  <c r="H154" i="48" s="1"/>
  <c r="H156" i="118" s="1"/>
  <c r="H44" i="105"/>
  <c r="P44" i="105"/>
  <c r="H45" i="105"/>
  <c r="P45" i="105"/>
  <c r="P46" i="105"/>
  <c r="R42" i="105" s="1"/>
  <c r="R39" i="105"/>
  <c r="R35" i="105"/>
  <c r="P130" i="82"/>
  <c r="H131" i="82" s="1"/>
  <c r="J131" i="82"/>
  <c r="P26" i="82"/>
  <c r="P27" i="82"/>
  <c r="P28" i="82"/>
  <c r="P29" i="82"/>
  <c r="D118" i="118"/>
  <c r="S118" i="82"/>
  <c r="P120" i="82"/>
  <c r="H126" i="82" s="1"/>
  <c r="P123" i="82"/>
  <c r="H124" i="82" s="1"/>
  <c r="J124" i="82"/>
  <c r="L124" i="82"/>
  <c r="L67" i="82" s="1"/>
  <c r="P67" i="82" s="1"/>
  <c r="R66" i="82" s="1"/>
  <c r="L85" i="82"/>
  <c r="L86" i="82"/>
  <c r="L89" i="82"/>
  <c r="L90" i="82"/>
  <c r="L91" i="82"/>
  <c r="L92" i="82"/>
  <c r="L93" i="82"/>
  <c r="L94" i="82"/>
  <c r="L95" i="82"/>
  <c r="L100" i="82"/>
  <c r="L102" i="82" s="1"/>
  <c r="J99" i="82" s="1"/>
  <c r="L101" i="82"/>
  <c r="L104" i="82"/>
  <c r="L99" i="82" s="1"/>
  <c r="P107" i="82"/>
  <c r="S55" i="82"/>
  <c r="P33" i="82"/>
  <c r="N34" i="82" s="1"/>
  <c r="P34" i="82" s="1"/>
  <c r="H49" i="82"/>
  <c r="J46" i="82"/>
  <c r="L49" i="82" s="1"/>
  <c r="J41" i="82"/>
  <c r="J43" i="82" s="1"/>
  <c r="P37" i="82"/>
  <c r="L38" i="82" s="1"/>
  <c r="N38" i="82"/>
  <c r="P46" i="114"/>
  <c r="R46" i="114" s="1"/>
  <c r="H45" i="114"/>
  <c r="P45" i="114" s="1"/>
  <c r="R45" i="114" s="1"/>
  <c r="H44" i="114"/>
  <c r="N42" i="114"/>
  <c r="J44" i="114" s="1"/>
  <c r="M26" i="118"/>
  <c r="P26" i="118" s="1"/>
  <c r="M25" i="118"/>
  <c r="P25" i="118" s="1"/>
  <c r="Q25" i="118" s="1"/>
  <c r="M24" i="118"/>
  <c r="P24" i="118" s="1"/>
  <c r="Q24" i="118" s="1"/>
  <c r="M23" i="118"/>
  <c r="P23" i="118" s="1"/>
  <c r="M22" i="118"/>
  <c r="P22" i="118" s="1"/>
  <c r="Q22" i="118" s="1"/>
  <c r="M19" i="118"/>
  <c r="Q19" i="118" s="1"/>
  <c r="M18" i="118"/>
  <c r="P18" i="118" s="1"/>
  <c r="P19" i="118"/>
  <c r="A1816" i="102"/>
  <c r="K1816" i="102" s="1"/>
  <c r="K1817" i="102"/>
  <c r="K1818" i="102"/>
  <c r="H1819" i="102"/>
  <c r="I1819" i="102" s="1"/>
  <c r="K1819" i="102"/>
  <c r="L1819" i="102"/>
  <c r="L1821" i="102" s="1"/>
  <c r="K1820" i="102"/>
  <c r="H1821" i="102"/>
  <c r="I1821" i="102" s="1"/>
  <c r="K1821" i="102"/>
  <c r="H1822" i="102"/>
  <c r="I1822" i="102" s="1"/>
  <c r="K1822" i="102"/>
  <c r="K1823" i="102"/>
  <c r="K1824" i="102"/>
  <c r="E32" i="103"/>
  <c r="H1825" i="102"/>
  <c r="I1825" i="102" s="1"/>
  <c r="K1825" i="102"/>
  <c r="K1826" i="102"/>
  <c r="K1827" i="102"/>
  <c r="K1828" i="102"/>
  <c r="K1829" i="102"/>
  <c r="I1830" i="102"/>
  <c r="K1830" i="102"/>
  <c r="K1831" i="102"/>
  <c r="K1832" i="102"/>
  <c r="G1833" i="102"/>
  <c r="K1833" i="102"/>
  <c r="K1834" i="102"/>
  <c r="K1835" i="102"/>
  <c r="A1836" i="102"/>
  <c r="K1836" i="102" s="1"/>
  <c r="K1837" i="102"/>
  <c r="K1838" i="102"/>
  <c r="H1839" i="102"/>
  <c r="I1839" i="102" s="1"/>
  <c r="K1839" i="102"/>
  <c r="K1840" i="102"/>
  <c r="H1841" i="102"/>
  <c r="I1841" i="102" s="1"/>
  <c r="K1841" i="102"/>
  <c r="H1842" i="102"/>
  <c r="I1842" i="102" s="1"/>
  <c r="K1842" i="102"/>
  <c r="K1843" i="102"/>
  <c r="K1844" i="102"/>
  <c r="E33" i="103"/>
  <c r="H1845" i="102" s="1"/>
  <c r="I1845" i="102" s="1"/>
  <c r="K1845" i="102"/>
  <c r="K1846" i="102"/>
  <c r="K1847" i="102"/>
  <c r="K1848" i="102"/>
  <c r="K1849" i="102"/>
  <c r="I1850" i="102"/>
  <c r="K1850" i="102"/>
  <c r="K1851" i="102"/>
  <c r="K1852" i="102"/>
  <c r="G1853" i="102"/>
  <c r="K1853" i="102"/>
  <c r="K1854" i="102"/>
  <c r="K1855" i="102"/>
  <c r="K1459" i="102"/>
  <c r="K1458" i="102"/>
  <c r="K1457" i="102"/>
  <c r="G1457" i="102"/>
  <c r="K1456" i="102"/>
  <c r="K1455" i="102"/>
  <c r="K1454" i="102"/>
  <c r="I1454" i="102"/>
  <c r="K1453" i="102"/>
  <c r="K1452" i="102"/>
  <c r="K1451" i="102"/>
  <c r="K1450" i="102"/>
  <c r="K1449" i="102"/>
  <c r="H1449" i="102"/>
  <c r="I1449" i="102" s="1"/>
  <c r="K1448" i="102"/>
  <c r="E44" i="103"/>
  <c r="H1448" i="102"/>
  <c r="I1448" i="102" s="1"/>
  <c r="K1447" i="102"/>
  <c r="K1446" i="102"/>
  <c r="K1445" i="102"/>
  <c r="K1444" i="102"/>
  <c r="H1444" i="102"/>
  <c r="I1444" i="102" s="1"/>
  <c r="K1443" i="102"/>
  <c r="H1443" i="102"/>
  <c r="I1443" i="102" s="1"/>
  <c r="K1442" i="102"/>
  <c r="K1441" i="102"/>
  <c r="H1441" i="102"/>
  <c r="I1441" i="102" s="1"/>
  <c r="K1440" i="102"/>
  <c r="K1439" i="102"/>
  <c r="A1438" i="102"/>
  <c r="K1438" i="102" s="1"/>
  <c r="I125" i="48"/>
  <c r="I127" i="118" s="1"/>
  <c r="H125" i="48"/>
  <c r="E18" i="105"/>
  <c r="D18" i="105"/>
  <c r="L1805" i="102"/>
  <c r="L1807" i="102" s="1"/>
  <c r="L968" i="102"/>
  <c r="L967" i="102"/>
  <c r="L966" i="102"/>
  <c r="G1862" i="102"/>
  <c r="G1863" i="102" s="1"/>
  <c r="G1859" i="102"/>
  <c r="G1860" i="102" s="1"/>
  <c r="G1861" i="102"/>
  <c r="K1861" i="102"/>
  <c r="K1860" i="102"/>
  <c r="K1859" i="102"/>
  <c r="K1863" i="102"/>
  <c r="R66" i="114"/>
  <c r="H64" i="114"/>
  <c r="L63" i="114"/>
  <c r="H63" i="114"/>
  <c r="J63" i="114" s="1"/>
  <c r="P63" i="114" s="1"/>
  <c r="J64" i="114" s="1"/>
  <c r="D62" i="114"/>
  <c r="E62" i="114"/>
  <c r="D66" i="114"/>
  <c r="E66" i="114"/>
  <c r="D68" i="114"/>
  <c r="E68" i="114"/>
  <c r="C57" i="114"/>
  <c r="D57" i="114"/>
  <c r="C68" i="114"/>
  <c r="C66" i="114"/>
  <c r="C62" i="114"/>
  <c r="N60" i="114"/>
  <c r="N59" i="114"/>
  <c r="H564" i="48"/>
  <c r="H566" i="118" s="1"/>
  <c r="H486" i="48"/>
  <c r="H488" i="118" s="1"/>
  <c r="H505" i="48"/>
  <c r="H507" i="118" s="1"/>
  <c r="H432" i="48"/>
  <c r="H434" i="118" s="1"/>
  <c r="E37" i="103"/>
  <c r="H284" i="102" s="1"/>
  <c r="I284" i="102" s="1"/>
  <c r="I285" i="102" s="1"/>
  <c r="H35" i="103"/>
  <c r="G278" i="102"/>
  <c r="G281" i="102"/>
  <c r="G280" i="102"/>
  <c r="G279" i="102"/>
  <c r="G290" i="102"/>
  <c r="H281" i="102"/>
  <c r="H280" i="102"/>
  <c r="H278" i="102"/>
  <c r="A275" i="102"/>
  <c r="M981" i="102"/>
  <c r="K1871" i="102"/>
  <c r="I1871" i="102"/>
  <c r="A1856" i="102"/>
  <c r="K1856" i="102" s="1"/>
  <c r="K1878" i="102"/>
  <c r="K1877" i="102"/>
  <c r="K1876" i="102"/>
  <c r="G1876" i="102"/>
  <c r="K1875" i="102"/>
  <c r="K1874" i="102"/>
  <c r="K1873" i="102"/>
  <c r="K1870" i="102"/>
  <c r="K1868" i="102"/>
  <c r="A1867" i="102"/>
  <c r="K1867" i="102" s="1"/>
  <c r="K1866" i="102"/>
  <c r="K1865" i="102"/>
  <c r="K1864" i="102"/>
  <c r="K1862" i="102"/>
  <c r="K1857" i="102"/>
  <c r="A1796" i="102"/>
  <c r="K1796" i="102" s="1"/>
  <c r="K1815" i="102"/>
  <c r="K1814" i="102"/>
  <c r="K1813" i="102"/>
  <c r="G1813" i="102"/>
  <c r="K1812" i="102"/>
  <c r="K1811" i="102"/>
  <c r="K1810" i="102"/>
  <c r="I1810" i="102"/>
  <c r="K1808" i="102"/>
  <c r="K1807" i="102"/>
  <c r="K1806" i="102"/>
  <c r="K1805" i="102"/>
  <c r="K1804" i="102"/>
  <c r="K1803" i="102"/>
  <c r="K1802" i="102"/>
  <c r="H1802" i="102"/>
  <c r="I1802" i="102" s="1"/>
  <c r="K1801" i="102"/>
  <c r="H1801" i="102"/>
  <c r="I1801" i="102" s="1"/>
  <c r="K1800" i="102"/>
  <c r="K1799" i="102"/>
  <c r="H1799" i="102"/>
  <c r="I1799" i="102" s="1"/>
  <c r="K1798" i="102"/>
  <c r="K1797" i="102"/>
  <c r="D163" i="103"/>
  <c r="H1785" i="102" s="1"/>
  <c r="H1447" i="102"/>
  <c r="H1450" i="102" s="1"/>
  <c r="I1450" i="102" s="1"/>
  <c r="A1756" i="102"/>
  <c r="K1756" i="102" s="1"/>
  <c r="K1775" i="102"/>
  <c r="K1774" i="102"/>
  <c r="K1773" i="102"/>
  <c r="G1773" i="102"/>
  <c r="K1772" i="102"/>
  <c r="K1771" i="102"/>
  <c r="K1770" i="102"/>
  <c r="I1770" i="102"/>
  <c r="K1769" i="102"/>
  <c r="K1768" i="102"/>
  <c r="K1767" i="102"/>
  <c r="K1766" i="102"/>
  <c r="K1765" i="102"/>
  <c r="K1764" i="102"/>
  <c r="K1763" i="102"/>
  <c r="K1762" i="102"/>
  <c r="H1762" i="102"/>
  <c r="I1762" i="102" s="1"/>
  <c r="K1761" i="102"/>
  <c r="H1761" i="102"/>
  <c r="I1761" i="102" s="1"/>
  <c r="K1760" i="102"/>
  <c r="K1759" i="102"/>
  <c r="H1759" i="102"/>
  <c r="I1759" i="102" s="1"/>
  <c r="K1758" i="102"/>
  <c r="K1757" i="102"/>
  <c r="K1755" i="102"/>
  <c r="E139" i="86"/>
  <c r="E138" i="86"/>
  <c r="E130" i="86"/>
  <c r="E129" i="86"/>
  <c r="E128" i="86"/>
  <c r="E125" i="86"/>
  <c r="E120" i="86"/>
  <c r="E119" i="86"/>
  <c r="E118" i="86"/>
  <c r="E117" i="86"/>
  <c r="E116" i="86"/>
  <c r="E115" i="86"/>
  <c r="E114" i="86"/>
  <c r="E113" i="86"/>
  <c r="E112" i="86"/>
  <c r="E111" i="86"/>
  <c r="E110" i="86"/>
  <c r="E109" i="86"/>
  <c r="E108" i="86"/>
  <c r="E107" i="86"/>
  <c r="E100" i="86"/>
  <c r="E99" i="86"/>
  <c r="E96" i="86"/>
  <c r="E91" i="86"/>
  <c r="E88" i="86"/>
  <c r="E86" i="86"/>
  <c r="E85" i="86"/>
  <c r="E84" i="86"/>
  <c r="E81" i="86"/>
  <c r="E76" i="86"/>
  <c r="E75" i="86"/>
  <c r="E74" i="86"/>
  <c r="E70" i="86"/>
  <c r="E69" i="86"/>
  <c r="E66" i="86"/>
  <c r="E65" i="86"/>
  <c r="E60" i="86"/>
  <c r="E59" i="86"/>
  <c r="E50" i="86"/>
  <c r="E49" i="86"/>
  <c r="E46" i="86"/>
  <c r="E45" i="86"/>
  <c r="E44" i="86"/>
  <c r="E43" i="86"/>
  <c r="E41" i="86"/>
  <c r="E40" i="86"/>
  <c r="E38" i="86"/>
  <c r="E37" i="86"/>
  <c r="E36" i="86"/>
  <c r="E35" i="86"/>
  <c r="E34" i="86"/>
  <c r="E30" i="86"/>
  <c r="E29" i="86"/>
  <c r="E28" i="86"/>
  <c r="E20" i="86"/>
  <c r="E19" i="86"/>
  <c r="E17" i="86"/>
  <c r="E16" i="86"/>
  <c r="E15" i="86"/>
  <c r="E12" i="86"/>
  <c r="E10" i="86"/>
  <c r="E9" i="86"/>
  <c r="E8" i="86"/>
  <c r="E98" i="103"/>
  <c r="H706" i="102" s="1"/>
  <c r="I706" i="102" s="1"/>
  <c r="I707" i="102" s="1"/>
  <c r="J34" i="5"/>
  <c r="I1873" i="102"/>
  <c r="G777" i="102"/>
  <c r="I775" i="102"/>
  <c r="H770" i="102"/>
  <c r="I770" i="102" s="1"/>
  <c r="H768" i="102"/>
  <c r="G768" i="102"/>
  <c r="H765" i="102"/>
  <c r="I765" i="102" s="1"/>
  <c r="H764" i="102"/>
  <c r="I764" i="102" s="1"/>
  <c r="H762" i="102"/>
  <c r="I762" i="102" s="1"/>
  <c r="A759" i="102"/>
  <c r="K759" i="102" s="1"/>
  <c r="I1870" i="102"/>
  <c r="E93" i="103"/>
  <c r="H611" i="102" s="1"/>
  <c r="I611" i="102" s="1"/>
  <c r="I612" i="102" s="1"/>
  <c r="G618" i="102"/>
  <c r="I615" i="102"/>
  <c r="H608" i="102"/>
  <c r="I608" i="102" s="1"/>
  <c r="H607" i="102"/>
  <c r="I607" i="102" s="1"/>
  <c r="H606" i="102"/>
  <c r="I606" i="102" s="1"/>
  <c r="H605" i="102"/>
  <c r="I605" i="102" s="1"/>
  <c r="A602" i="102"/>
  <c r="G713" i="102"/>
  <c r="I710" i="102"/>
  <c r="H703" i="102"/>
  <c r="I703" i="102" s="1"/>
  <c r="H702" i="102"/>
  <c r="I702" i="102" s="1"/>
  <c r="H701" i="102"/>
  <c r="I701" i="102" s="1"/>
  <c r="H700" i="102"/>
  <c r="I700" i="102" s="1"/>
  <c r="A697" i="102"/>
  <c r="D126" i="106"/>
  <c r="E128" i="106"/>
  <c r="D128" i="106"/>
  <c r="I536" i="48"/>
  <c r="I538" i="118" s="1"/>
  <c r="I535" i="48"/>
  <c r="I537" i="118" s="1"/>
  <c r="I533" i="48"/>
  <c r="I535" i="118" s="1"/>
  <c r="I534" i="48"/>
  <c r="I536" i="118" s="1"/>
  <c r="I532" i="48"/>
  <c r="I534" i="118" s="1"/>
  <c r="H530" i="48"/>
  <c r="H532" i="118" s="1"/>
  <c r="M532" i="118" s="1"/>
  <c r="M530" i="48"/>
  <c r="I530" i="48"/>
  <c r="I532" i="118" s="1"/>
  <c r="B140" i="107"/>
  <c r="C140" i="107"/>
  <c r="C141" i="107"/>
  <c r="D141" i="107"/>
  <c r="D142" i="107"/>
  <c r="D143" i="107"/>
  <c r="E143" i="107"/>
  <c r="D144" i="107"/>
  <c r="E144" i="107"/>
  <c r="D145" i="107"/>
  <c r="E145" i="107"/>
  <c r="D151" i="107"/>
  <c r="E151" i="107"/>
  <c r="D152" i="107"/>
  <c r="E152" i="107"/>
  <c r="D165" i="107"/>
  <c r="E165" i="107"/>
  <c r="D169" i="107"/>
  <c r="E169" i="107"/>
  <c r="C99" i="107"/>
  <c r="D99" i="107"/>
  <c r="D100" i="107"/>
  <c r="E100" i="107"/>
  <c r="D101" i="107"/>
  <c r="E101" i="107"/>
  <c r="D102" i="107"/>
  <c r="E102" i="107"/>
  <c r="I403" i="48"/>
  <c r="I405" i="118" s="1"/>
  <c r="I402" i="48"/>
  <c r="I404" i="118" s="1"/>
  <c r="I400" i="48"/>
  <c r="I402" i="118" s="1"/>
  <c r="I401" i="48"/>
  <c r="I403" i="118" s="1"/>
  <c r="I399" i="48"/>
  <c r="I401" i="118" s="1"/>
  <c r="E57" i="107"/>
  <c r="E44" i="107"/>
  <c r="E43" i="107"/>
  <c r="E37" i="107"/>
  <c r="D33" i="107"/>
  <c r="C34" i="107"/>
  <c r="D34" i="107"/>
  <c r="D35" i="107"/>
  <c r="E35" i="107"/>
  <c r="D36" i="107"/>
  <c r="E36" i="107"/>
  <c r="D61" i="107"/>
  <c r="E61" i="107"/>
  <c r="C63" i="107"/>
  <c r="D63" i="107"/>
  <c r="D64" i="107"/>
  <c r="E64" i="107"/>
  <c r="D65" i="107"/>
  <c r="E65" i="107"/>
  <c r="D66" i="107"/>
  <c r="E66" i="107"/>
  <c r="D67" i="107"/>
  <c r="E67" i="107"/>
  <c r="D68" i="107"/>
  <c r="E68" i="107"/>
  <c r="C70" i="107"/>
  <c r="D70" i="107"/>
  <c r="D71" i="107"/>
  <c r="E71" i="107"/>
  <c r="D72" i="107"/>
  <c r="E72" i="107"/>
  <c r="C74" i="107"/>
  <c r="D74" i="107"/>
  <c r="D75" i="107"/>
  <c r="E75" i="107"/>
  <c r="D76" i="107"/>
  <c r="E76" i="107"/>
  <c r="D77" i="107"/>
  <c r="E77" i="107"/>
  <c r="C79" i="107"/>
  <c r="D79" i="107"/>
  <c r="D80" i="107"/>
  <c r="E80" i="107"/>
  <c r="D81" i="107"/>
  <c r="E81" i="107"/>
  <c r="D82" i="107"/>
  <c r="E82" i="107"/>
  <c r="E148" i="103"/>
  <c r="K1517" i="102"/>
  <c r="K1516" i="102"/>
  <c r="K1515" i="102"/>
  <c r="G1515" i="102"/>
  <c r="K1514" i="102"/>
  <c r="K1513" i="102"/>
  <c r="K1512" i="102"/>
  <c r="I1512" i="102"/>
  <c r="K1511" i="102"/>
  <c r="K1510" i="102"/>
  <c r="K1509" i="102"/>
  <c r="K1508" i="102"/>
  <c r="H1508" i="102"/>
  <c r="I1508" i="102" s="1"/>
  <c r="I1509" i="102" s="1"/>
  <c r="K1507" i="102"/>
  <c r="K1506" i="102"/>
  <c r="K1505" i="102"/>
  <c r="H1505" i="102"/>
  <c r="I1505" i="102" s="1"/>
  <c r="K1504" i="102"/>
  <c r="H1504" i="102"/>
  <c r="I1504" i="102" s="1"/>
  <c r="K1503" i="102"/>
  <c r="K1502" i="102"/>
  <c r="H1502" i="102"/>
  <c r="I1502" i="102" s="1"/>
  <c r="K1501" i="102"/>
  <c r="K1500" i="102"/>
  <c r="A1499" i="102"/>
  <c r="K1499" i="102" s="1"/>
  <c r="H1339" i="102"/>
  <c r="I1339" i="102" s="1"/>
  <c r="E31" i="103"/>
  <c r="O60" i="48"/>
  <c r="O61" i="48" s="1"/>
  <c r="H1805" i="102"/>
  <c r="H1806" i="102" s="1"/>
  <c r="I1806" i="102" s="1"/>
  <c r="M397" i="48"/>
  <c r="E22" i="116"/>
  <c r="D22" i="116"/>
  <c r="C22" i="116"/>
  <c r="E21" i="116"/>
  <c r="D21" i="116"/>
  <c r="C21" i="116"/>
  <c r="E20" i="116"/>
  <c r="D20" i="116"/>
  <c r="C20" i="116"/>
  <c r="E19" i="116"/>
  <c r="D19" i="116"/>
  <c r="C19" i="116"/>
  <c r="E18" i="116"/>
  <c r="D18" i="116"/>
  <c r="C18" i="116"/>
  <c r="E17" i="116"/>
  <c r="D17" i="116"/>
  <c r="C17" i="116"/>
  <c r="C15" i="116"/>
  <c r="B15" i="116"/>
  <c r="B57" i="86"/>
  <c r="B73" i="86"/>
  <c r="B72" i="86"/>
  <c r="K414" i="48" s="1"/>
  <c r="D141" i="86"/>
  <c r="C15" i="86"/>
  <c r="K31" i="118"/>
  <c r="I56" i="48"/>
  <c r="I58" i="118" s="1"/>
  <c r="I57" i="48"/>
  <c r="I59" i="118" s="1"/>
  <c r="I58" i="48"/>
  <c r="I60" i="118" s="1"/>
  <c r="I59" i="48"/>
  <c r="I61" i="118" s="1"/>
  <c r="I60" i="48"/>
  <c r="I62" i="118" s="1"/>
  <c r="H35" i="114"/>
  <c r="P35" i="114"/>
  <c r="H36" i="114" s="1"/>
  <c r="P36" i="114" s="1"/>
  <c r="R36" i="114" s="1"/>
  <c r="J34" i="114"/>
  <c r="P34" i="114" s="1"/>
  <c r="R34" i="114" s="1"/>
  <c r="H34" i="114"/>
  <c r="J33" i="114"/>
  <c r="P33" i="114" s="1"/>
  <c r="R33" i="114" s="1"/>
  <c r="H57" i="48" s="1"/>
  <c r="H59" i="118" s="1"/>
  <c r="H33" i="114"/>
  <c r="H32" i="114"/>
  <c r="P32" i="114" s="1"/>
  <c r="R32" i="114" s="1"/>
  <c r="H24" i="114"/>
  <c r="P24" i="114" s="1"/>
  <c r="H25" i="114" s="1"/>
  <c r="P25" i="114" s="1"/>
  <c r="R25" i="114" s="1"/>
  <c r="I64" i="48"/>
  <c r="I66" i="118" s="1"/>
  <c r="I65" i="48"/>
  <c r="I67" i="118" s="1"/>
  <c r="I66" i="48"/>
  <c r="I68" i="118" s="1"/>
  <c r="N41" i="114"/>
  <c r="C27" i="114"/>
  <c r="D27" i="114"/>
  <c r="C32" i="114"/>
  <c r="D32" i="114"/>
  <c r="E32" i="114"/>
  <c r="C33" i="114"/>
  <c r="D33" i="114"/>
  <c r="E33" i="114"/>
  <c r="C34" i="114"/>
  <c r="D34" i="114"/>
  <c r="E34" i="114"/>
  <c r="C35" i="114"/>
  <c r="D35" i="114"/>
  <c r="E35" i="114"/>
  <c r="C36" i="114"/>
  <c r="D36" i="114"/>
  <c r="E36" i="114"/>
  <c r="C37" i="114"/>
  <c r="D37" i="114"/>
  <c r="C38" i="114"/>
  <c r="D38" i="114"/>
  <c r="C39" i="114"/>
  <c r="D39" i="114"/>
  <c r="D44" i="114"/>
  <c r="E44" i="114"/>
  <c r="D45" i="114"/>
  <c r="E45" i="114"/>
  <c r="D46" i="114"/>
  <c r="E46" i="114"/>
  <c r="D60" i="109"/>
  <c r="E60" i="109"/>
  <c r="E25" i="114"/>
  <c r="D25" i="114"/>
  <c r="E24" i="114"/>
  <c r="D24" i="114"/>
  <c r="J23" i="114"/>
  <c r="H23" i="114"/>
  <c r="E23" i="114"/>
  <c r="D23" i="114"/>
  <c r="J22" i="114"/>
  <c r="H22" i="114"/>
  <c r="P22" i="114" s="1"/>
  <c r="R22" i="114" s="1"/>
  <c r="H49" i="48" s="1"/>
  <c r="H51" i="118" s="1"/>
  <c r="E22" i="114"/>
  <c r="D22" i="114"/>
  <c r="H21" i="114"/>
  <c r="P21" i="114" s="1"/>
  <c r="R21" i="114" s="1"/>
  <c r="E21" i="114"/>
  <c r="D21" i="114"/>
  <c r="D16" i="114"/>
  <c r="C16" i="114"/>
  <c r="C15" i="114"/>
  <c r="B15" i="114"/>
  <c r="R35" i="114"/>
  <c r="H59" i="48" s="1"/>
  <c r="H61" i="118" s="1"/>
  <c r="I105" i="48"/>
  <c r="I107" i="118" s="1"/>
  <c r="I106" i="48"/>
  <c r="I108" i="118" s="1"/>
  <c r="I107" i="48"/>
  <c r="I109" i="118" s="1"/>
  <c r="E79" i="82"/>
  <c r="D79" i="82"/>
  <c r="E73" i="82"/>
  <c r="D73" i="82"/>
  <c r="K878" i="102"/>
  <c r="K877" i="102"/>
  <c r="K876" i="102"/>
  <c r="K875" i="102"/>
  <c r="K874" i="102"/>
  <c r="K873" i="102"/>
  <c r="K872" i="102"/>
  <c r="K871" i="102"/>
  <c r="K870" i="102"/>
  <c r="K869" i="102"/>
  <c r="K868" i="102"/>
  <c r="K867" i="102"/>
  <c r="K866" i="102"/>
  <c r="K865" i="102"/>
  <c r="K864" i="102"/>
  <c r="K863" i="102"/>
  <c r="K862" i="102"/>
  <c r="K861" i="102"/>
  <c r="K859" i="102"/>
  <c r="K858" i="102"/>
  <c r="K857" i="102"/>
  <c r="K856" i="102"/>
  <c r="K855" i="102"/>
  <c r="K854" i="102"/>
  <c r="K853" i="102"/>
  <c r="K852" i="102"/>
  <c r="K851" i="102"/>
  <c r="K850" i="102"/>
  <c r="K849" i="102"/>
  <c r="K848" i="102"/>
  <c r="K847" i="102"/>
  <c r="K846" i="102"/>
  <c r="K845" i="102"/>
  <c r="K844" i="102"/>
  <c r="K843" i="102"/>
  <c r="K842" i="102"/>
  <c r="K890" i="102"/>
  <c r="K891" i="102"/>
  <c r="K892" i="102"/>
  <c r="K893" i="102"/>
  <c r="I891" i="102"/>
  <c r="K1616" i="102"/>
  <c r="K1615" i="102"/>
  <c r="K1614" i="102"/>
  <c r="G1614" i="102"/>
  <c r="K1613" i="102"/>
  <c r="K1612" i="102"/>
  <c r="K1611" i="102"/>
  <c r="I1611" i="102"/>
  <c r="K1610" i="102"/>
  <c r="K1609" i="102"/>
  <c r="K1608" i="102"/>
  <c r="K1607" i="102"/>
  <c r="H1607" i="102"/>
  <c r="I1607" i="102" s="1"/>
  <c r="I1608" i="102" s="1"/>
  <c r="K1606" i="102"/>
  <c r="K1605" i="102"/>
  <c r="K1604" i="102"/>
  <c r="H1604" i="102"/>
  <c r="I1604" i="102" s="1"/>
  <c r="K1603" i="102"/>
  <c r="H1603" i="102"/>
  <c r="I1603" i="102" s="1"/>
  <c r="K1602" i="102"/>
  <c r="K1601" i="102"/>
  <c r="H1601" i="102"/>
  <c r="I1601" i="102" s="1"/>
  <c r="K1600" i="102"/>
  <c r="K1599" i="102"/>
  <c r="A1598" i="102"/>
  <c r="K1598" i="102" s="1"/>
  <c r="K1577" i="102"/>
  <c r="K1576" i="102"/>
  <c r="K1575" i="102"/>
  <c r="G1575" i="102"/>
  <c r="K1574" i="102"/>
  <c r="K1573" i="102"/>
  <c r="K1572" i="102"/>
  <c r="I1572" i="102"/>
  <c r="K1571" i="102"/>
  <c r="K1570" i="102"/>
  <c r="K1569" i="102"/>
  <c r="K1568" i="102"/>
  <c r="H1568" i="102"/>
  <c r="I1568" i="102" s="1"/>
  <c r="K1567" i="102"/>
  <c r="H1567" i="102"/>
  <c r="I1567" i="102" s="1"/>
  <c r="K1566" i="102"/>
  <c r="K1565" i="102"/>
  <c r="K1564" i="102"/>
  <c r="H1564" i="102"/>
  <c r="I1564" i="102" s="1"/>
  <c r="K1563" i="102"/>
  <c r="H1563" i="102"/>
  <c r="I1563" i="102" s="1"/>
  <c r="K1562" i="102"/>
  <c r="K1561" i="102"/>
  <c r="H1561" i="102"/>
  <c r="I1561" i="102" s="1"/>
  <c r="K1560" i="102"/>
  <c r="K1559" i="102"/>
  <c r="A1558" i="102"/>
  <c r="K1558" i="102" s="1"/>
  <c r="K1618" i="102"/>
  <c r="E162" i="103"/>
  <c r="E161" i="103"/>
  <c r="E160" i="103"/>
  <c r="H1688" i="102" s="1"/>
  <c r="I1688" i="102" s="1"/>
  <c r="E159" i="103"/>
  <c r="H1668" i="102" s="1"/>
  <c r="I1668" i="102" s="1"/>
  <c r="E158" i="103"/>
  <c r="H1648" i="102" s="1"/>
  <c r="I1648" i="102" s="1"/>
  <c r="E157" i="103"/>
  <c r="H1725" i="102"/>
  <c r="I1725" i="102" s="1"/>
  <c r="H1724" i="102"/>
  <c r="I1724" i="102" s="1"/>
  <c r="H1722" i="102"/>
  <c r="I1722" i="102" s="1"/>
  <c r="H1705" i="102"/>
  <c r="I1705" i="102" s="1"/>
  <c r="H1704" i="102"/>
  <c r="I1704" i="102" s="1"/>
  <c r="H1702" i="102"/>
  <c r="I1702" i="102" s="1"/>
  <c r="H1685" i="102"/>
  <c r="I1685" i="102" s="1"/>
  <c r="H1684" i="102"/>
  <c r="I1684" i="102" s="1"/>
  <c r="H1682" i="102"/>
  <c r="I1682" i="102" s="1"/>
  <c r="H1665" i="102"/>
  <c r="I1665" i="102" s="1"/>
  <c r="H1664" i="102"/>
  <c r="I1664" i="102" s="1"/>
  <c r="H1662" i="102"/>
  <c r="I1662" i="102" s="1"/>
  <c r="H1645" i="102"/>
  <c r="I1645" i="102" s="1"/>
  <c r="H1644" i="102"/>
  <c r="I1644" i="102" s="1"/>
  <c r="H1642" i="102"/>
  <c r="I1642" i="102" s="1"/>
  <c r="H1625" i="102"/>
  <c r="I1625" i="102" s="1"/>
  <c r="H1624" i="102"/>
  <c r="I1624" i="102" s="1"/>
  <c r="H1622" i="102"/>
  <c r="I1622" i="102" s="1"/>
  <c r="H1588" i="102"/>
  <c r="I1588" i="102" s="1"/>
  <c r="H1587" i="102"/>
  <c r="I1587" i="102" s="1"/>
  <c r="H1584" i="102"/>
  <c r="I1584" i="102" s="1"/>
  <c r="H1583" i="102"/>
  <c r="I1583" i="102" s="1"/>
  <c r="H1581" i="102"/>
  <c r="I1581" i="102" s="1"/>
  <c r="H1548" i="102"/>
  <c r="I1548" i="102" s="1"/>
  <c r="H1547" i="102"/>
  <c r="I1547" i="102" s="1"/>
  <c r="H1544" i="102"/>
  <c r="I1544" i="102" s="1"/>
  <c r="H1543" i="102"/>
  <c r="I1543" i="102" s="1"/>
  <c r="H1541" i="102"/>
  <c r="I1541" i="102" s="1"/>
  <c r="H1528" i="102"/>
  <c r="I1528" i="102" s="1"/>
  <c r="H1527" i="102"/>
  <c r="I1527" i="102" s="1"/>
  <c r="H1524" i="102"/>
  <c r="I1524" i="102" s="1"/>
  <c r="H1523" i="102"/>
  <c r="I1523" i="102" s="1"/>
  <c r="H1521" i="102"/>
  <c r="I1521" i="102" s="1"/>
  <c r="H1489" i="102"/>
  <c r="I1489" i="102" s="1"/>
  <c r="I1490" i="102" s="1"/>
  <c r="H1486" i="102"/>
  <c r="I1486" i="102" s="1"/>
  <c r="H1485" i="102"/>
  <c r="I1485" i="102" s="1"/>
  <c r="H1483" i="102"/>
  <c r="I1483" i="102" s="1"/>
  <c r="H1469" i="102"/>
  <c r="I1469" i="102" s="1"/>
  <c r="H1466" i="102"/>
  <c r="I1466" i="102" s="1"/>
  <c r="H1465" i="102"/>
  <c r="I1465" i="102" s="1"/>
  <c r="H1463" i="102"/>
  <c r="I1463" i="102" s="1"/>
  <c r="H1427" i="102"/>
  <c r="I1427" i="102" s="1"/>
  <c r="H1425" i="102"/>
  <c r="I1425" i="102" s="1"/>
  <c r="H1422" i="102"/>
  <c r="I1422" i="102" s="1"/>
  <c r="H1421" i="102"/>
  <c r="I1421" i="102" s="1"/>
  <c r="H1419" i="102"/>
  <c r="I1419" i="102" s="1"/>
  <c r="H1406" i="102"/>
  <c r="I1406" i="102" s="1"/>
  <c r="H1404" i="102"/>
  <c r="I1404" i="102" s="1"/>
  <c r="H1401" i="102"/>
  <c r="I1401" i="102" s="1"/>
  <c r="H1400" i="102"/>
  <c r="I1400" i="102" s="1"/>
  <c r="H1398" i="102"/>
  <c r="I1398" i="102" s="1"/>
  <c r="H1384" i="102"/>
  <c r="I1384" i="102" s="1"/>
  <c r="I1364" i="102"/>
  <c r="I1341" i="102"/>
  <c r="H1340" i="102"/>
  <c r="I1340" i="102" s="1"/>
  <c r="I1320" i="102"/>
  <c r="I1299" i="102"/>
  <c r="I1278" i="102"/>
  <c r="I1256" i="102"/>
  <c r="I1234" i="102"/>
  <c r="I1212" i="102"/>
  <c r="H1211" i="102"/>
  <c r="I1211" i="102" s="1"/>
  <c r="H1210" i="102"/>
  <c r="I1210" i="102" s="1"/>
  <c r="I872" i="102"/>
  <c r="I873" i="102" s="1"/>
  <c r="H1381" i="102"/>
  <c r="I1381" i="102" s="1"/>
  <c r="H1380" i="102"/>
  <c r="I1380" i="102" s="1"/>
  <c r="H1378" i="102"/>
  <c r="I1378" i="102" s="1"/>
  <c r="K1737" i="102"/>
  <c r="K1736" i="102"/>
  <c r="G1736" i="102"/>
  <c r="K1735" i="102"/>
  <c r="K1734" i="102"/>
  <c r="K1733" i="102"/>
  <c r="I1733" i="102"/>
  <c r="K1732" i="102"/>
  <c r="K1731" i="102"/>
  <c r="K1730" i="102"/>
  <c r="K1729" i="102"/>
  <c r="K1728" i="102"/>
  <c r="K1727" i="102"/>
  <c r="K1726" i="102"/>
  <c r="K1725" i="102"/>
  <c r="K1724" i="102"/>
  <c r="K1723" i="102"/>
  <c r="K1722" i="102"/>
  <c r="K1721" i="102"/>
  <c r="K1720" i="102"/>
  <c r="A1719" i="102"/>
  <c r="K1719" i="102" s="1"/>
  <c r="K1718" i="102"/>
  <c r="K1717" i="102"/>
  <c r="K1716" i="102"/>
  <c r="G1716" i="102"/>
  <c r="K1715" i="102"/>
  <c r="K1714" i="102"/>
  <c r="K1713" i="102"/>
  <c r="I1713" i="102"/>
  <c r="K1712" i="102"/>
  <c r="K1711" i="102"/>
  <c r="K1710" i="102"/>
  <c r="K1709" i="102"/>
  <c r="K1708" i="102"/>
  <c r="K1707" i="102"/>
  <c r="K1706" i="102"/>
  <c r="K1705" i="102"/>
  <c r="K1704" i="102"/>
  <c r="K1703" i="102"/>
  <c r="K1702" i="102"/>
  <c r="K1701" i="102"/>
  <c r="K1700" i="102"/>
  <c r="A1699" i="102"/>
  <c r="K1699" i="102" s="1"/>
  <c r="K1697" i="102"/>
  <c r="K1696" i="102"/>
  <c r="G1696" i="102"/>
  <c r="K1695" i="102"/>
  <c r="K1694" i="102"/>
  <c r="K1693" i="102"/>
  <c r="I1693" i="102"/>
  <c r="K1692" i="102"/>
  <c r="K1691" i="102"/>
  <c r="K1690" i="102"/>
  <c r="K1689" i="102"/>
  <c r="K1688" i="102"/>
  <c r="K1687" i="102"/>
  <c r="K1686" i="102"/>
  <c r="K1685" i="102"/>
  <c r="K1684" i="102"/>
  <c r="K1683" i="102"/>
  <c r="K1682" i="102"/>
  <c r="K1681" i="102"/>
  <c r="K1680" i="102"/>
  <c r="A1679" i="102"/>
  <c r="K1679" i="102" s="1"/>
  <c r="K1677" i="102"/>
  <c r="K1676" i="102"/>
  <c r="G1676" i="102"/>
  <c r="K1675" i="102"/>
  <c r="K1674" i="102"/>
  <c r="K1673" i="102"/>
  <c r="I1673" i="102"/>
  <c r="K1672" i="102"/>
  <c r="K1671" i="102"/>
  <c r="K1670" i="102"/>
  <c r="K1669" i="102"/>
  <c r="K1668" i="102"/>
  <c r="K1667" i="102"/>
  <c r="K1666" i="102"/>
  <c r="K1665" i="102"/>
  <c r="K1664" i="102"/>
  <c r="K1663" i="102"/>
  <c r="K1662" i="102"/>
  <c r="K1661" i="102"/>
  <c r="K1660" i="102"/>
  <c r="A1659" i="102"/>
  <c r="K1659" i="102" s="1"/>
  <c r="K1658" i="102"/>
  <c r="K1657" i="102"/>
  <c r="K1656" i="102"/>
  <c r="G1656" i="102"/>
  <c r="K1655" i="102"/>
  <c r="K1654" i="102"/>
  <c r="K1653" i="102"/>
  <c r="I1653" i="102"/>
  <c r="K1652" i="102"/>
  <c r="K1651" i="102"/>
  <c r="K1650" i="102"/>
  <c r="K1649" i="102"/>
  <c r="K1648" i="102"/>
  <c r="K1647" i="102"/>
  <c r="K1646" i="102"/>
  <c r="K1645" i="102"/>
  <c r="K1644" i="102"/>
  <c r="K1643" i="102"/>
  <c r="K1642" i="102"/>
  <c r="K1641" i="102"/>
  <c r="K1640" i="102"/>
  <c r="A1639" i="102"/>
  <c r="K1639" i="102" s="1"/>
  <c r="K1638" i="102"/>
  <c r="K1637" i="102"/>
  <c r="K1636" i="102"/>
  <c r="G1636" i="102"/>
  <c r="K1635" i="102"/>
  <c r="K1634" i="102"/>
  <c r="K1633" i="102"/>
  <c r="I1633" i="102"/>
  <c r="K1632" i="102"/>
  <c r="K1631" i="102"/>
  <c r="K1630" i="102"/>
  <c r="K1629" i="102"/>
  <c r="K1628" i="102"/>
  <c r="K1627" i="102"/>
  <c r="K1626" i="102"/>
  <c r="K1625" i="102"/>
  <c r="K1624" i="102"/>
  <c r="K1623" i="102"/>
  <c r="K1622" i="102"/>
  <c r="K1621" i="102"/>
  <c r="K1620" i="102"/>
  <c r="A1619" i="102"/>
  <c r="K1619" i="102" s="1"/>
  <c r="K1597" i="102"/>
  <c r="K1596" i="102"/>
  <c r="K1595" i="102"/>
  <c r="G1595" i="102"/>
  <c r="K1594" i="102"/>
  <c r="K1593" i="102"/>
  <c r="K1592" i="102"/>
  <c r="I1592" i="102"/>
  <c r="K1591" i="102"/>
  <c r="K1590" i="102"/>
  <c r="K1589" i="102"/>
  <c r="K1588" i="102"/>
  <c r="K1587" i="102"/>
  <c r="K1586" i="102"/>
  <c r="K1585" i="102"/>
  <c r="K1584" i="102"/>
  <c r="K1583" i="102"/>
  <c r="K1582" i="102"/>
  <c r="K1581" i="102"/>
  <c r="K1580" i="102"/>
  <c r="K1579" i="102"/>
  <c r="A1578" i="102"/>
  <c r="K1578" i="102" s="1"/>
  <c r="K1557" i="102"/>
  <c r="K1556" i="102"/>
  <c r="K1555" i="102"/>
  <c r="G1555" i="102"/>
  <c r="K1554" i="102"/>
  <c r="K1553" i="102"/>
  <c r="K1552" i="102"/>
  <c r="I1552" i="102"/>
  <c r="K1551" i="102"/>
  <c r="K1550" i="102"/>
  <c r="K1549" i="102"/>
  <c r="K1548" i="102"/>
  <c r="K1547" i="102"/>
  <c r="K1546" i="102"/>
  <c r="K1545" i="102"/>
  <c r="K1544" i="102"/>
  <c r="K1543" i="102"/>
  <c r="K1542" i="102"/>
  <c r="K1541" i="102"/>
  <c r="K1540" i="102"/>
  <c r="K1539" i="102"/>
  <c r="A1538" i="102"/>
  <c r="K1538" i="102" s="1"/>
  <c r="K1537" i="102"/>
  <c r="K1536" i="102"/>
  <c r="K1535" i="102"/>
  <c r="G1535" i="102"/>
  <c r="K1534" i="102"/>
  <c r="K1533" i="102"/>
  <c r="K1532" i="102"/>
  <c r="I1532" i="102"/>
  <c r="K1531" i="102"/>
  <c r="K1530" i="102"/>
  <c r="K1529" i="102"/>
  <c r="K1528" i="102"/>
  <c r="K1527" i="102"/>
  <c r="K1526" i="102"/>
  <c r="K1525" i="102"/>
  <c r="K1524" i="102"/>
  <c r="K1523" i="102"/>
  <c r="K1522" i="102"/>
  <c r="K1521" i="102"/>
  <c r="K1520" i="102"/>
  <c r="K1519" i="102"/>
  <c r="A1518" i="102"/>
  <c r="K1518" i="102" s="1"/>
  <c r="K1498" i="102"/>
  <c r="K1497" i="102"/>
  <c r="K1496" i="102"/>
  <c r="G1496" i="102"/>
  <c r="K1495" i="102"/>
  <c r="K1494" i="102"/>
  <c r="K1493" i="102"/>
  <c r="I1493" i="102"/>
  <c r="K1492" i="102"/>
  <c r="K1491" i="102"/>
  <c r="K1490" i="102"/>
  <c r="K1489" i="102"/>
  <c r="K1488" i="102"/>
  <c r="K1487" i="102"/>
  <c r="K1486" i="102"/>
  <c r="K1485" i="102"/>
  <c r="K1484" i="102"/>
  <c r="K1483" i="102"/>
  <c r="K1482" i="102"/>
  <c r="K1481" i="102"/>
  <c r="A1480" i="102"/>
  <c r="K1480" i="102" s="1"/>
  <c r="K1479" i="102"/>
  <c r="K1478" i="102"/>
  <c r="K1477" i="102"/>
  <c r="G1477" i="102"/>
  <c r="K1476" i="102"/>
  <c r="K1475" i="102"/>
  <c r="K1474" i="102"/>
  <c r="I1474" i="102"/>
  <c r="K1473" i="102"/>
  <c r="K1472" i="102"/>
  <c r="K1471" i="102"/>
  <c r="K1470" i="102"/>
  <c r="K1469" i="102"/>
  <c r="K1468" i="102"/>
  <c r="K1467" i="102"/>
  <c r="K1466" i="102"/>
  <c r="K1465" i="102"/>
  <c r="K1464" i="102"/>
  <c r="K1463" i="102"/>
  <c r="K1462" i="102"/>
  <c r="K1461" i="102"/>
  <c r="A1460" i="102"/>
  <c r="K1460" i="102" s="1"/>
  <c r="K1437" i="102"/>
  <c r="K1436" i="102"/>
  <c r="K1435" i="102"/>
  <c r="G1435" i="102"/>
  <c r="K1434" i="102"/>
  <c r="K1433" i="102"/>
  <c r="K1432" i="102"/>
  <c r="I1432" i="102"/>
  <c r="K1431" i="102"/>
  <c r="K1430" i="102"/>
  <c r="K1429" i="102"/>
  <c r="K1428" i="102"/>
  <c r="K1427" i="102"/>
  <c r="K1426" i="102"/>
  <c r="K1425" i="102"/>
  <c r="K1424" i="102"/>
  <c r="K1423" i="102"/>
  <c r="K1422" i="102"/>
  <c r="K1421" i="102"/>
  <c r="K1420" i="102"/>
  <c r="K1419" i="102"/>
  <c r="K1418" i="102"/>
  <c r="K1417" i="102"/>
  <c r="A1416" i="102"/>
  <c r="K1416" i="102" s="1"/>
  <c r="G1413" i="102"/>
  <c r="I1410" i="102"/>
  <c r="A1395" i="102"/>
  <c r="G1392" i="102"/>
  <c r="I1389" i="102"/>
  <c r="A1375" i="102"/>
  <c r="K1374" i="102"/>
  <c r="G391" i="102"/>
  <c r="G398" i="102"/>
  <c r="A388" i="102"/>
  <c r="G733" i="102"/>
  <c r="I730" i="102"/>
  <c r="H725" i="102"/>
  <c r="I725" i="102" s="1"/>
  <c r="H722" i="102"/>
  <c r="I722" i="102" s="1"/>
  <c r="H721" i="102"/>
  <c r="I721" i="102" s="1"/>
  <c r="H720" i="102"/>
  <c r="I720" i="102" s="1"/>
  <c r="H719" i="102"/>
  <c r="I719" i="102" s="1"/>
  <c r="A716" i="102"/>
  <c r="I397" i="102"/>
  <c r="B98" i="107"/>
  <c r="C98" i="107"/>
  <c r="C104" i="107"/>
  <c r="D104" i="107"/>
  <c r="D105" i="107"/>
  <c r="E105" i="107"/>
  <c r="D106" i="107"/>
  <c r="E106" i="107"/>
  <c r="D107" i="107"/>
  <c r="E107" i="107"/>
  <c r="D108" i="107"/>
  <c r="E108" i="107"/>
  <c r="D109" i="107"/>
  <c r="E109" i="107"/>
  <c r="C111" i="107"/>
  <c r="D111" i="107"/>
  <c r="D112" i="107"/>
  <c r="E112" i="107"/>
  <c r="D113" i="107"/>
  <c r="E113" i="107"/>
  <c r="D114" i="107"/>
  <c r="E114" i="107"/>
  <c r="D115" i="107"/>
  <c r="E115" i="107"/>
  <c r="D116" i="107"/>
  <c r="E116" i="107"/>
  <c r="C118" i="107"/>
  <c r="D118" i="107"/>
  <c r="D119" i="107"/>
  <c r="E119" i="107"/>
  <c r="B122" i="107"/>
  <c r="C122" i="107"/>
  <c r="C123" i="107"/>
  <c r="D123" i="107"/>
  <c r="D124" i="107"/>
  <c r="E124" i="107"/>
  <c r="C126" i="107"/>
  <c r="D126" i="107"/>
  <c r="D127" i="107"/>
  <c r="E127" i="107"/>
  <c r="D128" i="107"/>
  <c r="E128" i="107"/>
  <c r="C130" i="107"/>
  <c r="D130" i="107"/>
  <c r="D131" i="107"/>
  <c r="E131" i="107"/>
  <c r="D132" i="107"/>
  <c r="E132" i="107"/>
  <c r="D133" i="107"/>
  <c r="E133" i="107"/>
  <c r="D134" i="107"/>
  <c r="E134" i="107"/>
  <c r="C136" i="107"/>
  <c r="D136" i="107"/>
  <c r="D137" i="107"/>
  <c r="E137" i="107"/>
  <c r="B15" i="107"/>
  <c r="C15" i="107"/>
  <c r="D16" i="107"/>
  <c r="C17" i="107"/>
  <c r="D17" i="107"/>
  <c r="D18" i="107"/>
  <c r="E18" i="107"/>
  <c r="C20" i="107"/>
  <c r="D20" i="107"/>
  <c r="D21" i="107"/>
  <c r="E21" i="107"/>
  <c r="D22" i="107"/>
  <c r="E22" i="107"/>
  <c r="C24" i="107"/>
  <c r="D24" i="107"/>
  <c r="D25" i="107"/>
  <c r="E25" i="107"/>
  <c r="D26" i="107"/>
  <c r="E26" i="107"/>
  <c r="D27" i="107"/>
  <c r="E27" i="107"/>
  <c r="D28" i="107"/>
  <c r="E28" i="107"/>
  <c r="C30" i="107"/>
  <c r="D30" i="107"/>
  <c r="D31" i="107"/>
  <c r="E31" i="107"/>
  <c r="D83" i="107"/>
  <c r="E83" i="107"/>
  <c r="D84" i="107"/>
  <c r="E84" i="107"/>
  <c r="D85" i="107"/>
  <c r="E85" i="107"/>
  <c r="D86" i="107"/>
  <c r="E86" i="107"/>
  <c r="C88" i="107"/>
  <c r="D88" i="107"/>
  <c r="D89" i="107"/>
  <c r="E89" i="107"/>
  <c r="D90" i="107"/>
  <c r="E90" i="107"/>
  <c r="D91" i="107"/>
  <c r="E91" i="107"/>
  <c r="D92" i="107"/>
  <c r="E92" i="107"/>
  <c r="D93" i="107"/>
  <c r="E93" i="107"/>
  <c r="C95" i="107"/>
  <c r="D95" i="107"/>
  <c r="D96" i="107"/>
  <c r="E96" i="107"/>
  <c r="J63" i="82"/>
  <c r="I48" i="48"/>
  <c r="I50" i="118" s="1"/>
  <c r="I49" i="48"/>
  <c r="I51" i="118" s="1"/>
  <c r="I50" i="48"/>
  <c r="I52" i="118" s="1"/>
  <c r="I51" i="48"/>
  <c r="I53" i="118" s="1"/>
  <c r="I52" i="48"/>
  <c r="I54" i="118" s="1"/>
  <c r="E30" i="109"/>
  <c r="D30" i="109"/>
  <c r="E29" i="103"/>
  <c r="H850" i="102" s="1"/>
  <c r="I850" i="102" s="1"/>
  <c r="G857" i="102"/>
  <c r="I855" i="102"/>
  <c r="H851" i="102"/>
  <c r="I851" i="102" s="1"/>
  <c r="H847" i="102"/>
  <c r="I847" i="102" s="1"/>
  <c r="H846" i="102"/>
  <c r="I846" i="102" s="1"/>
  <c r="H844" i="102"/>
  <c r="I844" i="102" s="1"/>
  <c r="A841" i="102"/>
  <c r="K841" i="102" s="1"/>
  <c r="I32" i="48"/>
  <c r="I34" i="118" s="1"/>
  <c r="I33" i="48"/>
  <c r="I35" i="118" s="1"/>
  <c r="E41" i="109"/>
  <c r="D41" i="109"/>
  <c r="H419" i="48"/>
  <c r="H421" i="118" s="1"/>
  <c r="H417" i="48"/>
  <c r="H419" i="118" s="1"/>
  <c r="M419" i="118" s="1"/>
  <c r="P419" i="118" s="1"/>
  <c r="Q419" i="118" s="1"/>
  <c r="H410" i="48"/>
  <c r="H412" i="118" s="1"/>
  <c r="H409" i="48"/>
  <c r="H411" i="118" s="1"/>
  <c r="H406" i="48"/>
  <c r="H408" i="118" s="1"/>
  <c r="L1189" i="102"/>
  <c r="L1188" i="102"/>
  <c r="L1187" i="102"/>
  <c r="L1186" i="102"/>
  <c r="L1185" i="102"/>
  <c r="L1184" i="102"/>
  <c r="L1183" i="102"/>
  <c r="L1182" i="102"/>
  <c r="L1181" i="102"/>
  <c r="L1180" i="102"/>
  <c r="L1179" i="102"/>
  <c r="K1197" i="102"/>
  <c r="K1196" i="102"/>
  <c r="G1196" i="102"/>
  <c r="K1195" i="102"/>
  <c r="K1194" i="102"/>
  <c r="K1193" i="102"/>
  <c r="K1192" i="102"/>
  <c r="K1191" i="102"/>
  <c r="K1190" i="102"/>
  <c r="K1189" i="102"/>
  <c r="K1188" i="102"/>
  <c r="K1187" i="102"/>
  <c r="K1186" i="102"/>
  <c r="K1185" i="102"/>
  <c r="K1184" i="102"/>
  <c r="K1183" i="102"/>
  <c r="K1182" i="102"/>
  <c r="K1181" i="102"/>
  <c r="K1180" i="102"/>
  <c r="K1179" i="102"/>
  <c r="K1178" i="102"/>
  <c r="K1177" i="102"/>
  <c r="A1176" i="102"/>
  <c r="K1176" i="102" s="1"/>
  <c r="H379" i="48"/>
  <c r="H445" i="48"/>
  <c r="H447" i="118" s="1"/>
  <c r="M442" i="48"/>
  <c r="H418" i="48"/>
  <c r="H420" i="118" s="1"/>
  <c r="M417" i="48"/>
  <c r="M414" i="48"/>
  <c r="M413" i="48"/>
  <c r="H407" i="48"/>
  <c r="H550" i="48"/>
  <c r="H552" i="118" s="1"/>
  <c r="M552" i="118" s="1"/>
  <c r="P552" i="118" s="1"/>
  <c r="H551" i="48"/>
  <c r="H553" i="118" s="1"/>
  <c r="H552" i="48"/>
  <c r="H554" i="118" s="1"/>
  <c r="H543" i="48"/>
  <c r="H545" i="118" s="1"/>
  <c r="H542" i="48"/>
  <c r="H544" i="118" s="1"/>
  <c r="H539" i="48"/>
  <c r="H541" i="118" s="1"/>
  <c r="H812" i="102"/>
  <c r="I812" i="102" s="1"/>
  <c r="H810" i="102"/>
  <c r="I810" i="102" s="1"/>
  <c r="H807" i="102"/>
  <c r="I807" i="102" s="1"/>
  <c r="H806" i="102"/>
  <c r="I806" i="102" s="1"/>
  <c r="H804" i="102"/>
  <c r="I804" i="102" s="1"/>
  <c r="G819" i="102"/>
  <c r="I817" i="102"/>
  <c r="A801" i="102"/>
  <c r="L586" i="48"/>
  <c r="L588" i="118" s="1"/>
  <c r="M588" i="118" s="1"/>
  <c r="P588" i="118" s="1"/>
  <c r="G95" i="112"/>
  <c r="H89" i="112"/>
  <c r="I89" i="112" s="1"/>
  <c r="H88" i="112"/>
  <c r="I88" i="112" s="1"/>
  <c r="H85" i="112"/>
  <c r="I85" i="112" s="1"/>
  <c r="H84" i="112"/>
  <c r="I84" i="112" s="1"/>
  <c r="H82" i="112"/>
  <c r="I82" i="112" s="1"/>
  <c r="A79" i="112"/>
  <c r="G76" i="112"/>
  <c r="H70" i="112"/>
  <c r="I70" i="112" s="1"/>
  <c r="H69" i="112"/>
  <c r="I69" i="112" s="1"/>
  <c r="H66" i="112"/>
  <c r="I66" i="112" s="1"/>
  <c r="H65" i="112"/>
  <c r="I65" i="112" s="1"/>
  <c r="H63" i="112"/>
  <c r="I63" i="112" s="1"/>
  <c r="A60" i="112"/>
  <c r="G38" i="112"/>
  <c r="H32" i="112"/>
  <c r="I32" i="112" s="1"/>
  <c r="H31" i="112"/>
  <c r="I31" i="112" s="1"/>
  <c r="H28" i="112"/>
  <c r="I28" i="112" s="1"/>
  <c r="H27" i="112"/>
  <c r="I27" i="112" s="1"/>
  <c r="H25" i="112"/>
  <c r="I25" i="112" s="1"/>
  <c r="A22" i="112"/>
  <c r="G115" i="112"/>
  <c r="H109" i="112"/>
  <c r="I109" i="112" s="1"/>
  <c r="H108" i="112"/>
  <c r="I108" i="112" s="1"/>
  <c r="H105" i="112"/>
  <c r="I105" i="112" s="1"/>
  <c r="H104" i="112"/>
  <c r="I104" i="112" s="1"/>
  <c r="H102" i="112"/>
  <c r="I102" i="112" s="1"/>
  <c r="A99" i="112"/>
  <c r="G57" i="112"/>
  <c r="H51" i="112"/>
  <c r="I51" i="112" s="1"/>
  <c r="H50" i="112"/>
  <c r="I50" i="112" s="1"/>
  <c r="H47" i="112"/>
  <c r="I47" i="112" s="1"/>
  <c r="H46" i="112"/>
  <c r="I46" i="112" s="1"/>
  <c r="H44" i="112"/>
  <c r="I44" i="112" s="1"/>
  <c r="A41" i="112"/>
  <c r="G18" i="112"/>
  <c r="H9" i="112"/>
  <c r="I9" i="112" s="1"/>
  <c r="A6" i="112"/>
  <c r="M546" i="48"/>
  <c r="I321" i="48"/>
  <c r="I323" i="118" s="1"/>
  <c r="H321" i="48"/>
  <c r="H323" i="118" s="1"/>
  <c r="I286" i="48"/>
  <c r="I288" i="118" s="1"/>
  <c r="H286" i="48"/>
  <c r="H288" i="118" s="1"/>
  <c r="H1143" i="102"/>
  <c r="I1143" i="102" s="1"/>
  <c r="H1142" i="102"/>
  <c r="I1142" i="102" s="1"/>
  <c r="H1141" i="102"/>
  <c r="I1141" i="102" s="1"/>
  <c r="H1138" i="102"/>
  <c r="I1138" i="102" s="1"/>
  <c r="H1137" i="102"/>
  <c r="I1137" i="102" s="1"/>
  <c r="H1135" i="102"/>
  <c r="I1135" i="102" s="1"/>
  <c r="H1122" i="102"/>
  <c r="I1122" i="102" s="1"/>
  <c r="H1121" i="102"/>
  <c r="I1121" i="102" s="1"/>
  <c r="H1118" i="102"/>
  <c r="I1118" i="102" s="1"/>
  <c r="H1117" i="102"/>
  <c r="I1117" i="102" s="1"/>
  <c r="H1115" i="102"/>
  <c r="I1115" i="102" s="1"/>
  <c r="G1150" i="102"/>
  <c r="I1147" i="102"/>
  <c r="A1132" i="102"/>
  <c r="G1129" i="102"/>
  <c r="I1126" i="102"/>
  <c r="A1112" i="102"/>
  <c r="G895" i="102"/>
  <c r="I888" i="102"/>
  <c r="I889" i="102" s="1"/>
  <c r="H885" i="102"/>
  <c r="I885" i="102" s="1"/>
  <c r="H884" i="102"/>
  <c r="I884" i="102" s="1"/>
  <c r="H882" i="102"/>
  <c r="I882" i="102" s="1"/>
  <c r="K896" i="102"/>
  <c r="K895" i="102"/>
  <c r="K894" i="102"/>
  <c r="I892" i="102"/>
  <c r="K889" i="102"/>
  <c r="K888" i="102"/>
  <c r="K887" i="102"/>
  <c r="K886" i="102"/>
  <c r="K885" i="102"/>
  <c r="K884" i="102"/>
  <c r="K883" i="102"/>
  <c r="K882" i="102"/>
  <c r="K881" i="102"/>
  <c r="K880" i="102"/>
  <c r="A879" i="102"/>
  <c r="K879" i="102" s="1"/>
  <c r="G756" i="102"/>
  <c r="H749" i="102"/>
  <c r="I749" i="102" s="1"/>
  <c r="H747" i="102"/>
  <c r="H744" i="102"/>
  <c r="I744" i="102" s="1"/>
  <c r="H743" i="102"/>
  <c r="I743" i="102" s="1"/>
  <c r="H741" i="102"/>
  <c r="I741" i="102" s="1"/>
  <c r="I754" i="102"/>
  <c r="G747" i="102"/>
  <c r="A738" i="102"/>
  <c r="K738" i="102" s="1"/>
  <c r="G1348" i="102"/>
  <c r="I1346" i="102"/>
  <c r="H1336" i="102"/>
  <c r="I1336" i="102" s="1"/>
  <c r="H1335" i="102"/>
  <c r="I1335" i="102" s="1"/>
  <c r="H1334" i="102"/>
  <c r="I1334" i="102" s="1"/>
  <c r="H1333" i="102"/>
  <c r="I1333" i="102" s="1"/>
  <c r="A1330" i="102"/>
  <c r="H84" i="48"/>
  <c r="H86" i="118" s="1"/>
  <c r="M86" i="118" s="1"/>
  <c r="G1084" i="102"/>
  <c r="I1081" i="102"/>
  <c r="H1077" i="102"/>
  <c r="I1077" i="102" s="1"/>
  <c r="H1076" i="102"/>
  <c r="I1076" i="102" s="1"/>
  <c r="H1073" i="102"/>
  <c r="I1073" i="102" s="1"/>
  <c r="H1072" i="102"/>
  <c r="I1072" i="102" s="1"/>
  <c r="H1070" i="102"/>
  <c r="I1070" i="102" s="1"/>
  <c r="A1067" i="102"/>
  <c r="G1327" i="102"/>
  <c r="I1325" i="102"/>
  <c r="H1319" i="102"/>
  <c r="I1319" i="102" s="1"/>
  <c r="H1318" i="102"/>
  <c r="I1318" i="102" s="1"/>
  <c r="H1315" i="102"/>
  <c r="I1315" i="102" s="1"/>
  <c r="H1314" i="102"/>
  <c r="I1314" i="102" s="1"/>
  <c r="H1313" i="102"/>
  <c r="I1313" i="102" s="1"/>
  <c r="H1312" i="102"/>
  <c r="I1312" i="102" s="1"/>
  <c r="A1309" i="102"/>
  <c r="C31" i="5"/>
  <c r="D31" i="5"/>
  <c r="C30" i="5"/>
  <c r="D30" i="5"/>
  <c r="K1174" i="102"/>
  <c r="K1173" i="102"/>
  <c r="G1173" i="102"/>
  <c r="K1172" i="102"/>
  <c r="K1171" i="102"/>
  <c r="K1170" i="102"/>
  <c r="K1169" i="102"/>
  <c r="K1168" i="102"/>
  <c r="K1167" i="102"/>
  <c r="K1166" i="102"/>
  <c r="K1165" i="102"/>
  <c r="K1164" i="102"/>
  <c r="K1163" i="102"/>
  <c r="K1162" i="102"/>
  <c r="K1161" i="102"/>
  <c r="K1160" i="102"/>
  <c r="K1159" i="102"/>
  <c r="K1158" i="102"/>
  <c r="K1157" i="102"/>
  <c r="K1156" i="102"/>
  <c r="K1155" i="102"/>
  <c r="K1154" i="102"/>
  <c r="A1153" i="102"/>
  <c r="K1153" i="102"/>
  <c r="G876" i="102"/>
  <c r="H866" i="102"/>
  <c r="I866" i="102" s="1"/>
  <c r="H865" i="102"/>
  <c r="I865" i="102" s="1"/>
  <c r="H863" i="102"/>
  <c r="I863" i="102" s="1"/>
  <c r="A860" i="102"/>
  <c r="K860" i="102" s="1"/>
  <c r="E30" i="103"/>
  <c r="G838" i="102"/>
  <c r="I836" i="102"/>
  <c r="H832" i="102"/>
  <c r="I832" i="102" s="1"/>
  <c r="H828" i="102"/>
  <c r="I828" i="102" s="1"/>
  <c r="H827" i="102"/>
  <c r="I827" i="102" s="1"/>
  <c r="H825" i="102"/>
  <c r="I825" i="102" s="1"/>
  <c r="A822" i="102"/>
  <c r="K29" i="48"/>
  <c r="M603" i="48"/>
  <c r="M600" i="48"/>
  <c r="M602" i="48"/>
  <c r="M586" i="48"/>
  <c r="H585" i="48"/>
  <c r="H587" i="118" s="1"/>
  <c r="M587" i="118" s="1"/>
  <c r="P587" i="118" s="1"/>
  <c r="Q587" i="118" s="1"/>
  <c r="M585" i="48"/>
  <c r="M601" i="48"/>
  <c r="M597" i="48"/>
  <c r="M596" i="48"/>
  <c r="M594" i="48"/>
  <c r="M593" i="48"/>
  <c r="M24" i="48"/>
  <c r="M23" i="48"/>
  <c r="M22" i="48"/>
  <c r="M21" i="48"/>
  <c r="M20" i="48"/>
  <c r="M19" i="48"/>
  <c r="M18" i="48"/>
  <c r="M17" i="48"/>
  <c r="M16" i="48"/>
  <c r="J61" i="111"/>
  <c r="J60" i="111"/>
  <c r="J63" i="111" s="1"/>
  <c r="J59" i="111"/>
  <c r="J55" i="111"/>
  <c r="J57" i="111"/>
  <c r="J51" i="111"/>
  <c r="J53" i="111"/>
  <c r="J47" i="111"/>
  <c r="J46" i="111"/>
  <c r="J45" i="111"/>
  <c r="J44" i="111"/>
  <c r="J40" i="111"/>
  <c r="J39" i="111"/>
  <c r="J38" i="111"/>
  <c r="J42" i="111" s="1"/>
  <c r="J34" i="111"/>
  <c r="J36" i="111" s="1"/>
  <c r="J30" i="111"/>
  <c r="J32" i="111"/>
  <c r="J26" i="111"/>
  <c r="J25" i="111"/>
  <c r="J24" i="111"/>
  <c r="J23" i="111"/>
  <c r="J22" i="111"/>
  <c r="J21" i="111"/>
  <c r="J20" i="111"/>
  <c r="J19" i="111"/>
  <c r="J18" i="111"/>
  <c r="J12" i="111"/>
  <c r="J14" i="111"/>
  <c r="J8" i="111"/>
  <c r="J7" i="111"/>
  <c r="L6" i="111"/>
  <c r="E170" i="106"/>
  <c r="D170" i="106"/>
  <c r="E87" i="106"/>
  <c r="D87" i="106"/>
  <c r="H250" i="48"/>
  <c r="H252" i="118" s="1"/>
  <c r="I250" i="48"/>
  <c r="I252" i="118" s="1"/>
  <c r="E44" i="106"/>
  <c r="D44" i="106"/>
  <c r="I348" i="48"/>
  <c r="I350" i="118" s="1"/>
  <c r="I347" i="48"/>
  <c r="I349" i="118" s="1"/>
  <c r="I346" i="48"/>
  <c r="I348" i="118" s="1"/>
  <c r="E147" i="106"/>
  <c r="D147" i="106"/>
  <c r="I313" i="48"/>
  <c r="I315" i="118" s="1"/>
  <c r="I312" i="48"/>
  <c r="I314" i="118" s="1"/>
  <c r="I311" i="48"/>
  <c r="I313" i="118" s="1"/>
  <c r="E121" i="106"/>
  <c r="D121" i="106"/>
  <c r="E117" i="106"/>
  <c r="D117" i="106"/>
  <c r="E106" i="106"/>
  <c r="D106" i="106"/>
  <c r="I242" i="48"/>
  <c r="I244" i="118" s="1"/>
  <c r="I278" i="48"/>
  <c r="I280" i="118" s="1"/>
  <c r="I277" i="48"/>
  <c r="I279" i="118" s="1"/>
  <c r="I276" i="48"/>
  <c r="I278" i="118" s="1"/>
  <c r="E78" i="106"/>
  <c r="D78" i="106"/>
  <c r="E36" i="106"/>
  <c r="D36" i="106"/>
  <c r="M476" i="48"/>
  <c r="M475" i="48"/>
  <c r="M460" i="48"/>
  <c r="H453" i="48"/>
  <c r="H455" i="118" s="1"/>
  <c r="M455" i="118" s="1"/>
  <c r="M453" i="48"/>
  <c r="M456" i="48"/>
  <c r="C29" i="5"/>
  <c r="D29" i="5"/>
  <c r="C28" i="5"/>
  <c r="D28" i="5"/>
  <c r="C27" i="5"/>
  <c r="D27" i="5"/>
  <c r="C26" i="5"/>
  <c r="D26" i="5"/>
  <c r="C25" i="5"/>
  <c r="D25" i="5"/>
  <c r="C24" i="5"/>
  <c r="D24" i="5"/>
  <c r="C23" i="5"/>
  <c r="D23" i="5"/>
  <c r="C22" i="5"/>
  <c r="D22" i="5"/>
  <c r="C21" i="5"/>
  <c r="D21" i="5"/>
  <c r="C20" i="5"/>
  <c r="D20" i="5"/>
  <c r="C19" i="5"/>
  <c r="D19" i="5"/>
  <c r="C18" i="5"/>
  <c r="D18" i="5"/>
  <c r="C17" i="5"/>
  <c r="D17" i="5"/>
  <c r="C16" i="5"/>
  <c r="D16" i="5"/>
  <c r="H576" i="48"/>
  <c r="H578" i="118" s="1"/>
  <c r="M459" i="48"/>
  <c r="M472" i="48"/>
  <c r="M471" i="48"/>
  <c r="I478" i="48"/>
  <c r="I480" i="118" s="1"/>
  <c r="H477" i="48"/>
  <c r="H479" i="118" s="1"/>
  <c r="M479" i="118" s="1"/>
  <c r="P479" i="118" s="1"/>
  <c r="H478" i="48"/>
  <c r="H480" i="118" s="1"/>
  <c r="H524" i="48"/>
  <c r="H526" i="118" s="1"/>
  <c r="H518" i="48"/>
  <c r="H520" i="118" s="1"/>
  <c r="H515" i="48"/>
  <c r="H517" i="118" s="1"/>
  <c r="H514" i="48"/>
  <c r="H516" i="118" s="1"/>
  <c r="M513" i="48"/>
  <c r="H500" i="48"/>
  <c r="H502" i="118" s="1"/>
  <c r="H389" i="48"/>
  <c r="M383" i="48"/>
  <c r="M382" i="48"/>
  <c r="H496" i="48"/>
  <c r="H498" i="118" s="1"/>
  <c r="H451" i="48"/>
  <c r="H452" i="48"/>
  <c r="H461" i="48"/>
  <c r="H462" i="48"/>
  <c r="H464" i="118" s="1"/>
  <c r="M477" i="48"/>
  <c r="M495" i="48"/>
  <c r="B16" i="109"/>
  <c r="C16" i="109"/>
  <c r="D17" i="109"/>
  <c r="E17" i="109"/>
  <c r="D18" i="109"/>
  <c r="E18" i="109"/>
  <c r="D19" i="109"/>
  <c r="E19" i="109"/>
  <c r="D20" i="109"/>
  <c r="E20" i="109"/>
  <c r="D21" i="109"/>
  <c r="E21" i="109"/>
  <c r="D22" i="109"/>
  <c r="E22" i="109"/>
  <c r="D23" i="109"/>
  <c r="E23" i="109"/>
  <c r="D24" i="109"/>
  <c r="E24" i="109"/>
  <c r="B27" i="109"/>
  <c r="C27" i="109"/>
  <c r="D48" i="109"/>
  <c r="E48" i="109"/>
  <c r="P50" i="109"/>
  <c r="R48" i="109"/>
  <c r="H38" i="48" s="1"/>
  <c r="H40" i="118" s="1"/>
  <c r="D35" i="109"/>
  <c r="E35" i="109"/>
  <c r="C47" i="109"/>
  <c r="D47" i="109"/>
  <c r="D52" i="109"/>
  <c r="E52" i="109"/>
  <c r="H54" i="109"/>
  <c r="P54" i="109"/>
  <c r="R52" i="109" s="1"/>
  <c r="D56" i="109"/>
  <c r="E56" i="109"/>
  <c r="P56" i="109"/>
  <c r="R56" i="109"/>
  <c r="D58" i="109"/>
  <c r="E58" i="109"/>
  <c r="H58" i="109"/>
  <c r="J58" i="109"/>
  <c r="C28" i="109"/>
  <c r="D28" i="109"/>
  <c r="D37" i="109"/>
  <c r="E37" i="109"/>
  <c r="H38" i="109"/>
  <c r="P38" i="109" s="1"/>
  <c r="D43" i="109"/>
  <c r="E43" i="109"/>
  <c r="D45" i="109"/>
  <c r="E45" i="109"/>
  <c r="P45" i="109"/>
  <c r="R45" i="109"/>
  <c r="I29" i="48"/>
  <c r="I31" i="118" s="1"/>
  <c r="I38" i="48"/>
  <c r="I40" i="118" s="1"/>
  <c r="I30" i="48"/>
  <c r="I32" i="118" s="1"/>
  <c r="I39" i="48"/>
  <c r="I41" i="118" s="1"/>
  <c r="I40" i="48"/>
  <c r="I42" i="118" s="1"/>
  <c r="I41" i="48"/>
  <c r="I43" i="118" s="1"/>
  <c r="I31" i="48"/>
  <c r="I33" i="118" s="1"/>
  <c r="I34" i="48"/>
  <c r="I36" i="118" s="1"/>
  <c r="I42" i="48"/>
  <c r="I44" i="118" s="1"/>
  <c r="H40" i="48"/>
  <c r="H42" i="118" s="1"/>
  <c r="H34" i="48"/>
  <c r="H36" i="118" s="1"/>
  <c r="I576" i="48"/>
  <c r="I578" i="118" s="1"/>
  <c r="H30" i="107"/>
  <c r="P30" i="107"/>
  <c r="R28" i="107" s="1"/>
  <c r="H114" i="107"/>
  <c r="P114" i="107"/>
  <c r="R112" i="107" s="1"/>
  <c r="P106" i="107"/>
  <c r="R104" i="107" s="1"/>
  <c r="R108" i="107" s="1"/>
  <c r="R116" i="107" s="1"/>
  <c r="I466" i="48"/>
  <c r="I468" i="118" s="1"/>
  <c r="I462" i="48"/>
  <c r="I464" i="118" s="1"/>
  <c r="H463" i="48"/>
  <c r="H465" i="118" s="1"/>
  <c r="I463" i="48"/>
  <c r="I465" i="118" s="1"/>
  <c r="I461" i="48"/>
  <c r="I463" i="118" s="1"/>
  <c r="P22" i="107"/>
  <c r="R20" i="107"/>
  <c r="R24" i="107"/>
  <c r="I203" i="48"/>
  <c r="I205" i="118" s="1"/>
  <c r="C126" i="105"/>
  <c r="D126" i="105"/>
  <c r="E124" i="105"/>
  <c r="D124" i="105"/>
  <c r="M550" i="48"/>
  <c r="G271" i="102"/>
  <c r="H265" i="102"/>
  <c r="I265" i="102" s="1"/>
  <c r="H264" i="102"/>
  <c r="I264" i="102" s="1"/>
  <c r="H261" i="102"/>
  <c r="I261" i="102" s="1"/>
  <c r="H260" i="102"/>
  <c r="I260" i="102" s="1"/>
  <c r="H258" i="102"/>
  <c r="I258" i="102" s="1"/>
  <c r="A255" i="102"/>
  <c r="G232" i="102"/>
  <c r="G211" i="102"/>
  <c r="G190" i="102"/>
  <c r="G169" i="102"/>
  <c r="H205" i="102"/>
  <c r="I205" i="102" s="1"/>
  <c r="H199" i="102"/>
  <c r="I199" i="102" s="1"/>
  <c r="H198" i="102"/>
  <c r="I198" i="102" s="1"/>
  <c r="H196" i="102"/>
  <c r="I196" i="102" s="1"/>
  <c r="A193" i="102"/>
  <c r="H226" i="102"/>
  <c r="I226" i="102" s="1"/>
  <c r="H220" i="102"/>
  <c r="I220" i="102" s="1"/>
  <c r="H219" i="102"/>
  <c r="I219" i="102" s="1"/>
  <c r="H217" i="102"/>
  <c r="I217" i="102" s="1"/>
  <c r="H184" i="102"/>
  <c r="I184" i="102" s="1"/>
  <c r="H178" i="102"/>
  <c r="I178" i="102" s="1"/>
  <c r="H177" i="102"/>
  <c r="I177" i="102" s="1"/>
  <c r="H175" i="102"/>
  <c r="I175" i="102" s="1"/>
  <c r="H163" i="102"/>
  <c r="I163" i="102" s="1"/>
  <c r="H157" i="102"/>
  <c r="I157" i="102" s="1"/>
  <c r="H156" i="102"/>
  <c r="I156" i="102" s="1"/>
  <c r="H154" i="102"/>
  <c r="I154" i="102" s="1"/>
  <c r="A214" i="102"/>
  <c r="A172" i="102"/>
  <c r="A151" i="102"/>
  <c r="H831" i="102"/>
  <c r="I831" i="102" s="1"/>
  <c r="H409" i="102"/>
  <c r="I409" i="102" s="1"/>
  <c r="H408" i="102"/>
  <c r="I408" i="102" s="1"/>
  <c r="H406" i="102"/>
  <c r="I406" i="102" s="1"/>
  <c r="H412" i="102"/>
  <c r="I412" i="102" s="1"/>
  <c r="I413" i="102" s="1"/>
  <c r="G440" i="102"/>
  <c r="I437" i="102"/>
  <c r="H433" i="102"/>
  <c r="I433" i="102" s="1"/>
  <c r="H431" i="102"/>
  <c r="I431" i="102" s="1"/>
  <c r="H428" i="102"/>
  <c r="I428" i="102" s="1"/>
  <c r="H427" i="102"/>
  <c r="I427" i="102" s="1"/>
  <c r="H425" i="102"/>
  <c r="I425" i="102" s="1"/>
  <c r="A422" i="102"/>
  <c r="I372" i="48"/>
  <c r="I374" i="118" s="1"/>
  <c r="H368" i="48"/>
  <c r="H370" i="118" s="1"/>
  <c r="I368" i="48"/>
  <c r="I370" i="118" s="1"/>
  <c r="H369" i="48"/>
  <c r="H371" i="118" s="1"/>
  <c r="I369" i="48"/>
  <c r="I371" i="118" s="1"/>
  <c r="H352" i="48"/>
  <c r="I352" i="48"/>
  <c r="I354" i="118" s="1"/>
  <c r="H342" i="48"/>
  <c r="I342" i="48"/>
  <c r="I344" i="118" s="1"/>
  <c r="H343" i="48"/>
  <c r="I343" i="48"/>
  <c r="I345" i="118" s="1"/>
  <c r="I337" i="48"/>
  <c r="I339" i="118" s="1"/>
  <c r="H333" i="48"/>
  <c r="H335" i="118" s="1"/>
  <c r="I333" i="48"/>
  <c r="I335" i="118" s="1"/>
  <c r="H334" i="48"/>
  <c r="H336" i="118" s="1"/>
  <c r="I334" i="48"/>
  <c r="I336" i="118" s="1"/>
  <c r="H320" i="48"/>
  <c r="H322" i="118" s="1"/>
  <c r="I320" i="48"/>
  <c r="I322" i="118" s="1"/>
  <c r="H322" i="48"/>
  <c r="H324" i="118" s="1"/>
  <c r="I322" i="48"/>
  <c r="I324" i="118" s="1"/>
  <c r="H317" i="48"/>
  <c r="I317" i="48"/>
  <c r="I319" i="118" s="1"/>
  <c r="H307" i="48"/>
  <c r="I307" i="48"/>
  <c r="I309" i="118" s="1"/>
  <c r="H308" i="48"/>
  <c r="H310" i="118" s="1"/>
  <c r="M310" i="118" s="1"/>
  <c r="P310" i="118" s="1"/>
  <c r="Q310" i="118" s="1"/>
  <c r="I308" i="48"/>
  <c r="I310" i="118" s="1"/>
  <c r="I302" i="48"/>
  <c r="I304" i="118" s="1"/>
  <c r="H298" i="48"/>
  <c r="H300" i="118" s="1"/>
  <c r="I298" i="48"/>
  <c r="I300" i="118" s="1"/>
  <c r="H299" i="48"/>
  <c r="H301" i="118" s="1"/>
  <c r="I299" i="48"/>
  <c r="I301" i="118" s="1"/>
  <c r="H285" i="48"/>
  <c r="H287" i="118" s="1"/>
  <c r="I285" i="48"/>
  <c r="I287" i="118" s="1"/>
  <c r="H287" i="48"/>
  <c r="H289" i="118" s="1"/>
  <c r="I287" i="48"/>
  <c r="I289" i="118" s="1"/>
  <c r="H282" i="48"/>
  <c r="I282" i="48"/>
  <c r="I284" i="118" s="1"/>
  <c r="H272" i="48"/>
  <c r="I272" i="48"/>
  <c r="I274" i="118" s="1"/>
  <c r="H273" i="48"/>
  <c r="I273" i="48"/>
  <c r="I275" i="118" s="1"/>
  <c r="I266" i="48"/>
  <c r="I268" i="118" s="1"/>
  <c r="H262" i="48"/>
  <c r="H264" i="118" s="1"/>
  <c r="I262" i="48"/>
  <c r="I264" i="118" s="1"/>
  <c r="H263" i="48"/>
  <c r="H265" i="118" s="1"/>
  <c r="I263" i="48"/>
  <c r="I265" i="118" s="1"/>
  <c r="H249" i="48"/>
  <c r="H251" i="118" s="1"/>
  <c r="I249" i="48"/>
  <c r="I251" i="118" s="1"/>
  <c r="H251" i="48"/>
  <c r="H253" i="118" s="1"/>
  <c r="I251" i="48"/>
  <c r="I253" i="118" s="1"/>
  <c r="H246" i="48"/>
  <c r="I246" i="48"/>
  <c r="I248" i="118" s="1"/>
  <c r="I241" i="48"/>
  <c r="I243" i="118" s="1"/>
  <c r="I240" i="48"/>
  <c r="I242" i="118" s="1"/>
  <c r="H236" i="48"/>
  <c r="H238" i="118" s="1"/>
  <c r="M238" i="118" s="1"/>
  <c r="P238" i="118" s="1"/>
  <c r="I236" i="48"/>
  <c r="I238" i="118" s="1"/>
  <c r="H237" i="48"/>
  <c r="I237" i="48"/>
  <c r="I239" i="118" s="1"/>
  <c r="D81" i="106"/>
  <c r="B15" i="106"/>
  <c r="C15" i="106"/>
  <c r="C16" i="106"/>
  <c r="D16" i="106"/>
  <c r="D17" i="106"/>
  <c r="E17" i="106"/>
  <c r="D18" i="106"/>
  <c r="E18" i="106"/>
  <c r="D20" i="106"/>
  <c r="D21" i="106"/>
  <c r="E21" i="106"/>
  <c r="D32" i="106"/>
  <c r="E32" i="106"/>
  <c r="D38" i="106"/>
  <c r="D39" i="106"/>
  <c r="E39" i="106"/>
  <c r="D41" i="106"/>
  <c r="D42" i="106"/>
  <c r="E42" i="106"/>
  <c r="D43" i="106"/>
  <c r="E43" i="106"/>
  <c r="D45" i="106"/>
  <c r="E45" i="106"/>
  <c r="D47" i="106"/>
  <c r="D48" i="106"/>
  <c r="E48" i="106"/>
  <c r="D49" i="106"/>
  <c r="E49" i="106"/>
  <c r="D51" i="106"/>
  <c r="D52" i="106"/>
  <c r="E52" i="106"/>
  <c r="C58" i="106"/>
  <c r="D58" i="106"/>
  <c r="D59" i="106"/>
  <c r="E59" i="106"/>
  <c r="D60" i="106"/>
  <c r="E60" i="106"/>
  <c r="D62" i="106"/>
  <c r="D63" i="106"/>
  <c r="E63" i="106"/>
  <c r="D74" i="106"/>
  <c r="E74" i="106"/>
  <c r="D82" i="106"/>
  <c r="E82" i="106"/>
  <c r="D84" i="106"/>
  <c r="D85" i="106"/>
  <c r="E85" i="106"/>
  <c r="D86" i="106"/>
  <c r="E86" i="106"/>
  <c r="D88" i="106"/>
  <c r="E88" i="106"/>
  <c r="D90" i="106"/>
  <c r="D91" i="106"/>
  <c r="E91" i="106"/>
  <c r="D92" i="106"/>
  <c r="E92" i="106"/>
  <c r="D94" i="106"/>
  <c r="D95" i="106"/>
  <c r="E95" i="106"/>
  <c r="C101" i="106"/>
  <c r="D101" i="106"/>
  <c r="D102" i="106"/>
  <c r="E102" i="106"/>
  <c r="D103" i="106"/>
  <c r="E103" i="106"/>
  <c r="D105" i="106"/>
  <c r="D123" i="106"/>
  <c r="D124" i="106"/>
  <c r="E124" i="106"/>
  <c r="D127" i="106"/>
  <c r="E127" i="106"/>
  <c r="D129" i="106"/>
  <c r="E129" i="106"/>
  <c r="D131" i="106"/>
  <c r="D132" i="106"/>
  <c r="E132" i="106"/>
  <c r="D133" i="106"/>
  <c r="E133" i="106"/>
  <c r="D135" i="106"/>
  <c r="D136" i="106"/>
  <c r="E136" i="106"/>
  <c r="C142" i="106"/>
  <c r="D142" i="106"/>
  <c r="D143" i="106"/>
  <c r="E143" i="106"/>
  <c r="D144" i="106"/>
  <c r="E144" i="106"/>
  <c r="D146" i="106"/>
  <c r="D158" i="106"/>
  <c r="E158" i="106"/>
  <c r="D162" i="106"/>
  <c r="E162" i="106"/>
  <c r="D164" i="106"/>
  <c r="D165" i="106"/>
  <c r="E165" i="106"/>
  <c r="D167" i="106"/>
  <c r="D168" i="106"/>
  <c r="E168" i="106"/>
  <c r="D169" i="106"/>
  <c r="E169" i="106"/>
  <c r="D171" i="106"/>
  <c r="E171" i="106"/>
  <c r="D173" i="106"/>
  <c r="D174" i="106"/>
  <c r="E174" i="106"/>
  <c r="D175" i="106"/>
  <c r="E175" i="106"/>
  <c r="D177" i="106"/>
  <c r="D178" i="106"/>
  <c r="E178" i="106"/>
  <c r="I229" i="48"/>
  <c r="I231" i="118" s="1"/>
  <c r="H225" i="48"/>
  <c r="H227" i="118" s="1"/>
  <c r="I225" i="48"/>
  <c r="I227" i="118" s="1"/>
  <c r="H226" i="48"/>
  <c r="H228" i="118" s="1"/>
  <c r="I226" i="48"/>
  <c r="I228" i="118" s="1"/>
  <c r="H220" i="48"/>
  <c r="H222" i="118" s="1"/>
  <c r="I220" i="48"/>
  <c r="I222" i="118" s="1"/>
  <c r="H221" i="48"/>
  <c r="H223" i="118" s="1"/>
  <c r="I221" i="48"/>
  <c r="I223" i="118" s="1"/>
  <c r="I222" i="48"/>
  <c r="I224" i="118" s="1"/>
  <c r="H217" i="48"/>
  <c r="I217" i="48"/>
  <c r="I219" i="118" s="1"/>
  <c r="I213" i="48"/>
  <c r="I215" i="118" s="1"/>
  <c r="I212" i="48"/>
  <c r="I214" i="118" s="1"/>
  <c r="H208" i="48"/>
  <c r="I208" i="48"/>
  <c r="I210" i="118" s="1"/>
  <c r="H209" i="48"/>
  <c r="I209" i="48"/>
  <c r="I211" i="118" s="1"/>
  <c r="H222" i="48"/>
  <c r="H224" i="118" s="1"/>
  <c r="H141" i="48"/>
  <c r="H143" i="118" s="1"/>
  <c r="I141" i="48"/>
  <c r="I143" i="118" s="1"/>
  <c r="I142" i="48"/>
  <c r="I144" i="118" s="1"/>
  <c r="H167" i="48"/>
  <c r="H169" i="118" s="1"/>
  <c r="I167" i="48"/>
  <c r="I169" i="118" s="1"/>
  <c r="H168" i="48"/>
  <c r="H170" i="118" s="1"/>
  <c r="I168" i="48"/>
  <c r="I170" i="118" s="1"/>
  <c r="D127" i="105"/>
  <c r="E127" i="105"/>
  <c r="D128" i="105"/>
  <c r="E128" i="105"/>
  <c r="D130" i="105"/>
  <c r="D131" i="105"/>
  <c r="E131" i="105"/>
  <c r="D135" i="105"/>
  <c r="E135" i="105"/>
  <c r="D139" i="105"/>
  <c r="D140" i="105"/>
  <c r="E140" i="105"/>
  <c r="D142" i="105"/>
  <c r="D143" i="105"/>
  <c r="E143" i="105"/>
  <c r="D144" i="105"/>
  <c r="E144" i="105"/>
  <c r="D145" i="105"/>
  <c r="E145" i="105"/>
  <c r="D147" i="105"/>
  <c r="D148" i="105"/>
  <c r="E148" i="105"/>
  <c r="D149" i="105"/>
  <c r="E149" i="105"/>
  <c r="D151" i="105"/>
  <c r="D152" i="105"/>
  <c r="E152" i="105"/>
  <c r="I202" i="48"/>
  <c r="I204" i="118" s="1"/>
  <c r="H198" i="48"/>
  <c r="H200" i="118" s="1"/>
  <c r="I198" i="48"/>
  <c r="I200" i="118" s="1"/>
  <c r="H199" i="48"/>
  <c r="H201" i="118" s="1"/>
  <c r="I199" i="48"/>
  <c r="I201" i="118" s="1"/>
  <c r="H193" i="48"/>
  <c r="H195" i="118" s="1"/>
  <c r="I193" i="48"/>
  <c r="I195" i="118" s="1"/>
  <c r="H194" i="48"/>
  <c r="H196" i="118" s="1"/>
  <c r="I194" i="48"/>
  <c r="I196" i="118" s="1"/>
  <c r="I195" i="48"/>
  <c r="I197" i="118" s="1"/>
  <c r="H190" i="48"/>
  <c r="I190" i="48"/>
  <c r="I192" i="118" s="1"/>
  <c r="I185" i="48"/>
  <c r="I187" i="118" s="1"/>
  <c r="I186" i="48"/>
  <c r="I188" i="118" s="1"/>
  <c r="I184" i="48"/>
  <c r="I186" i="118" s="1"/>
  <c r="I181" i="48"/>
  <c r="I183" i="118" s="1"/>
  <c r="I180" i="48"/>
  <c r="I182" i="118" s="1"/>
  <c r="H176" i="48"/>
  <c r="H178" i="118" s="1"/>
  <c r="M178" i="118" s="1"/>
  <c r="P178" i="118" s="1"/>
  <c r="I176" i="48"/>
  <c r="I178" i="118" s="1"/>
  <c r="H177" i="48"/>
  <c r="H179" i="118" s="1"/>
  <c r="M179" i="118" s="1"/>
  <c r="P179" i="118" s="1"/>
  <c r="I177" i="48"/>
  <c r="I179" i="118" s="1"/>
  <c r="H195" i="48"/>
  <c r="H197" i="118" s="1"/>
  <c r="H180" i="48"/>
  <c r="H182" i="118" s="1"/>
  <c r="D81" i="105"/>
  <c r="E81" i="105"/>
  <c r="D82" i="105"/>
  <c r="E82" i="105"/>
  <c r="D84" i="105"/>
  <c r="D85" i="105"/>
  <c r="E85" i="105"/>
  <c r="D89" i="105"/>
  <c r="E89" i="105"/>
  <c r="D93" i="105"/>
  <c r="D94" i="105"/>
  <c r="E94" i="105"/>
  <c r="D98" i="105"/>
  <c r="E98" i="105"/>
  <c r="D99" i="105"/>
  <c r="E99" i="105"/>
  <c r="D106" i="105"/>
  <c r="D107" i="105"/>
  <c r="E107" i="105"/>
  <c r="D109" i="105"/>
  <c r="D110" i="105"/>
  <c r="E110" i="105"/>
  <c r="D111" i="105"/>
  <c r="E111" i="105"/>
  <c r="D112" i="105"/>
  <c r="E112" i="105"/>
  <c r="D114" i="105"/>
  <c r="D115" i="105"/>
  <c r="E115" i="105"/>
  <c r="D116" i="105"/>
  <c r="E116" i="105"/>
  <c r="D118" i="105"/>
  <c r="D119" i="105"/>
  <c r="E119" i="105"/>
  <c r="I171" i="48"/>
  <c r="I173" i="118" s="1"/>
  <c r="H162" i="48"/>
  <c r="H164" i="118" s="1"/>
  <c r="I162" i="48"/>
  <c r="I164" i="118" s="1"/>
  <c r="H163" i="48"/>
  <c r="H165" i="118" s="1"/>
  <c r="I163" i="48"/>
  <c r="I165" i="118" s="1"/>
  <c r="I164" i="48"/>
  <c r="I166" i="118" s="1"/>
  <c r="H159" i="48"/>
  <c r="I159" i="48"/>
  <c r="I161" i="118" s="1"/>
  <c r="I155" i="48"/>
  <c r="I157" i="118" s="1"/>
  <c r="I154" i="48"/>
  <c r="I156" i="118" s="1"/>
  <c r="H150" i="48"/>
  <c r="I150" i="48"/>
  <c r="I152" i="118" s="1"/>
  <c r="H151" i="48"/>
  <c r="I151" i="48"/>
  <c r="I153" i="118" s="1"/>
  <c r="H164" i="48"/>
  <c r="H166" i="118" s="1"/>
  <c r="H155" i="48"/>
  <c r="H157" i="118" s="1"/>
  <c r="E74" i="105"/>
  <c r="D74" i="105"/>
  <c r="D73" i="105"/>
  <c r="E71" i="105"/>
  <c r="D71" i="105"/>
  <c r="I145" i="48"/>
  <c r="I147" i="118" s="1"/>
  <c r="D41" i="105"/>
  <c r="E42" i="105"/>
  <c r="D42" i="105"/>
  <c r="H136" i="48"/>
  <c r="H138" i="118" s="1"/>
  <c r="I136" i="48"/>
  <c r="I138" i="118" s="1"/>
  <c r="H137" i="48"/>
  <c r="H139" i="118" s="1"/>
  <c r="I137" i="48"/>
  <c r="I139" i="118" s="1"/>
  <c r="I138" i="48"/>
  <c r="I140" i="118" s="1"/>
  <c r="H133" i="48"/>
  <c r="I133" i="48"/>
  <c r="I135" i="118" s="1"/>
  <c r="I129" i="48"/>
  <c r="I131" i="118" s="1"/>
  <c r="I128" i="48"/>
  <c r="I130" i="118" s="1"/>
  <c r="H124" i="48"/>
  <c r="I124" i="48"/>
  <c r="I126" i="118" s="1"/>
  <c r="H142" i="48"/>
  <c r="H144" i="118" s="1"/>
  <c r="E39" i="105"/>
  <c r="D39" i="105"/>
  <c r="P27" i="105"/>
  <c r="R25" i="105" s="1"/>
  <c r="P23" i="105"/>
  <c r="R21" i="105"/>
  <c r="E35" i="105"/>
  <c r="B15" i="105"/>
  <c r="C15" i="105"/>
  <c r="C16" i="105"/>
  <c r="D16" i="105"/>
  <c r="D17" i="105"/>
  <c r="E17" i="105"/>
  <c r="D20" i="105"/>
  <c r="D21" i="105"/>
  <c r="E21" i="105"/>
  <c r="D25" i="105"/>
  <c r="E25" i="105"/>
  <c r="D29" i="105"/>
  <c r="D30" i="105"/>
  <c r="E30" i="105"/>
  <c r="D32" i="105"/>
  <c r="D33" i="105"/>
  <c r="E33" i="105"/>
  <c r="D34" i="105"/>
  <c r="E34" i="105"/>
  <c r="D35" i="105"/>
  <c r="D37" i="105"/>
  <c r="D38" i="105"/>
  <c r="E38" i="105"/>
  <c r="C48" i="105"/>
  <c r="D48" i="105"/>
  <c r="D49" i="105"/>
  <c r="E49" i="105"/>
  <c r="D50" i="105"/>
  <c r="E50" i="105"/>
  <c r="D52" i="105"/>
  <c r="D53" i="105"/>
  <c r="E53" i="105"/>
  <c r="D57" i="105"/>
  <c r="E57" i="105"/>
  <c r="D61" i="105"/>
  <c r="D62" i="105"/>
  <c r="E62" i="105"/>
  <c r="D64" i="105"/>
  <c r="D65" i="105"/>
  <c r="E65" i="105"/>
  <c r="D66" i="105"/>
  <c r="E66" i="105"/>
  <c r="D67" i="105"/>
  <c r="E67" i="105"/>
  <c r="D69" i="105"/>
  <c r="D70" i="105"/>
  <c r="E70" i="105"/>
  <c r="C80" i="105"/>
  <c r="D80" i="105"/>
  <c r="H138" i="48"/>
  <c r="H140" i="118" s="1"/>
  <c r="I117" i="48"/>
  <c r="I119" i="118" s="1"/>
  <c r="I116" i="48"/>
  <c r="I118" i="118" s="1"/>
  <c r="I115" i="48"/>
  <c r="I117" i="118" s="1"/>
  <c r="I111" i="48"/>
  <c r="I113" i="118" s="1"/>
  <c r="P114" i="82"/>
  <c r="H113" i="82"/>
  <c r="P113" i="82"/>
  <c r="P115" i="82" s="1"/>
  <c r="R112" i="82" s="1"/>
  <c r="I100" i="48"/>
  <c r="I102" i="118" s="1"/>
  <c r="I101" i="48"/>
  <c r="I103" i="118" s="1"/>
  <c r="I96" i="48"/>
  <c r="I98" i="118" s="1"/>
  <c r="C71" i="82"/>
  <c r="E72" i="82"/>
  <c r="D72" i="82"/>
  <c r="D71" i="82"/>
  <c r="E112" i="82"/>
  <c r="D112" i="82"/>
  <c r="I94" i="48"/>
  <c r="I96" i="118" s="1"/>
  <c r="I93" i="48"/>
  <c r="I95" i="118" s="1"/>
  <c r="I92" i="48"/>
  <c r="I94" i="118" s="1"/>
  <c r="I91" i="48"/>
  <c r="I93" i="118" s="1"/>
  <c r="I84" i="48"/>
  <c r="I86" i="118" s="1"/>
  <c r="H85" i="48"/>
  <c r="I85" i="48"/>
  <c r="I87" i="118" s="1"/>
  <c r="H86" i="48"/>
  <c r="H88" i="118" s="1"/>
  <c r="M88" i="118" s="1"/>
  <c r="P88" i="118" s="1"/>
  <c r="Q88" i="118" s="1"/>
  <c r="I86" i="48"/>
  <c r="I88" i="118" s="1"/>
  <c r="I95" i="48"/>
  <c r="I97" i="118" s="1"/>
  <c r="B17" i="82"/>
  <c r="C17" i="82"/>
  <c r="C18" i="82"/>
  <c r="D18" i="82"/>
  <c r="D19" i="82"/>
  <c r="E19" i="82"/>
  <c r="D20" i="82"/>
  <c r="E20" i="82"/>
  <c r="D21" i="82"/>
  <c r="E21" i="82"/>
  <c r="C24" i="82"/>
  <c r="D24" i="82"/>
  <c r="D32" i="82"/>
  <c r="E32" i="82"/>
  <c r="D36" i="82"/>
  <c r="E36" i="82"/>
  <c r="D40" i="82"/>
  <c r="E40" i="82"/>
  <c r="D45" i="82"/>
  <c r="E45" i="82"/>
  <c r="D51" i="82"/>
  <c r="E51" i="82"/>
  <c r="D55" i="82"/>
  <c r="E55" i="82"/>
  <c r="D58" i="82"/>
  <c r="E58" i="82"/>
  <c r="C65" i="82"/>
  <c r="D65" i="82"/>
  <c r="D66" i="82"/>
  <c r="E66" i="82"/>
  <c r="D68" i="82"/>
  <c r="E68" i="82"/>
  <c r="C111" i="82"/>
  <c r="D111" i="82"/>
  <c r="C117" i="82"/>
  <c r="D117" i="82"/>
  <c r="D118" i="82"/>
  <c r="E118" i="82"/>
  <c r="E128" i="82"/>
  <c r="E129" i="82"/>
  <c r="B25" i="104"/>
  <c r="C22" i="104"/>
  <c r="C19" i="104"/>
  <c r="D116" i="48"/>
  <c r="D128" i="82" s="1"/>
  <c r="D129" i="82"/>
  <c r="E73" i="103"/>
  <c r="H910" i="102" s="1"/>
  <c r="I910" i="102" s="1"/>
  <c r="E72" i="103"/>
  <c r="H909" i="102" s="1"/>
  <c r="I909" i="102" s="1"/>
  <c r="M963" i="102"/>
  <c r="H994" i="102"/>
  <c r="I994" i="102" s="1"/>
  <c r="H993" i="102"/>
  <c r="I993" i="102" s="1"/>
  <c r="H990" i="102"/>
  <c r="I990" i="102" s="1"/>
  <c r="H989" i="102"/>
  <c r="I989" i="102" s="1"/>
  <c r="H988" i="102"/>
  <c r="I988" i="102" s="1"/>
  <c r="H987" i="102"/>
  <c r="I987" i="102" s="1"/>
  <c r="H974" i="102"/>
  <c r="I974" i="102" s="1"/>
  <c r="H973" i="102"/>
  <c r="I973" i="102" s="1"/>
  <c r="H970" i="102"/>
  <c r="I970" i="102" s="1"/>
  <c r="H969" i="102"/>
  <c r="I969" i="102" s="1"/>
  <c r="H968" i="102"/>
  <c r="I968" i="102" s="1"/>
  <c r="H967" i="102"/>
  <c r="I967" i="102" s="1"/>
  <c r="K1002" i="102"/>
  <c r="K1001" i="102"/>
  <c r="G1001" i="102"/>
  <c r="K1000" i="102"/>
  <c r="K999" i="102"/>
  <c r="I999" i="102"/>
  <c r="K998" i="102"/>
  <c r="K997" i="102"/>
  <c r="K996" i="102"/>
  <c r="K995" i="102"/>
  <c r="K994" i="102"/>
  <c r="K993" i="102"/>
  <c r="K992" i="102"/>
  <c r="K991" i="102"/>
  <c r="K990" i="102"/>
  <c r="K989" i="102"/>
  <c r="K988" i="102"/>
  <c r="K987" i="102"/>
  <c r="K986" i="102"/>
  <c r="K985" i="102"/>
  <c r="A984" i="102"/>
  <c r="K984" i="102" s="1"/>
  <c r="K983" i="102"/>
  <c r="K982" i="102"/>
  <c r="K981" i="102"/>
  <c r="G981" i="102"/>
  <c r="K980" i="102"/>
  <c r="K979" i="102"/>
  <c r="I979" i="102"/>
  <c r="K978" i="102"/>
  <c r="K977" i="102"/>
  <c r="K976" i="102"/>
  <c r="K975" i="102"/>
  <c r="K974" i="102"/>
  <c r="K973" i="102"/>
  <c r="K972" i="102"/>
  <c r="K971" i="102"/>
  <c r="K970" i="102"/>
  <c r="K969" i="102"/>
  <c r="K968" i="102"/>
  <c r="K967" i="102"/>
  <c r="K966" i="102"/>
  <c r="K965" i="102"/>
  <c r="A964" i="102"/>
  <c r="K964" i="102" s="1"/>
  <c r="E23" i="103"/>
  <c r="H224" i="102" s="1"/>
  <c r="I224" i="102" s="1"/>
  <c r="E119" i="103"/>
  <c r="H1628" i="102"/>
  <c r="I1628" i="102" s="1"/>
  <c r="E52" i="103"/>
  <c r="E54" i="103"/>
  <c r="H372" i="102" s="1"/>
  <c r="I372" i="102" s="1"/>
  <c r="E53" i="103"/>
  <c r="H513" i="102" s="1"/>
  <c r="I513" i="102" s="1"/>
  <c r="H33" i="112"/>
  <c r="I33" i="112" s="1"/>
  <c r="H90" i="112"/>
  <c r="I90" i="112" s="1"/>
  <c r="H71" i="112"/>
  <c r="I71" i="112" s="1"/>
  <c r="I14" i="112"/>
  <c r="H110" i="112"/>
  <c r="I110" i="112" s="1"/>
  <c r="E121" i="103"/>
  <c r="H1728" i="102" s="1"/>
  <c r="I1728" i="102" s="1"/>
  <c r="E120" i="103"/>
  <c r="H1708" i="102" s="1"/>
  <c r="I1708" i="102" s="1"/>
  <c r="E45" i="103"/>
  <c r="H813" i="102" s="1"/>
  <c r="I813" i="102" s="1"/>
  <c r="H769" i="102"/>
  <c r="I769" i="102" s="1"/>
  <c r="E40" i="103"/>
  <c r="H225" i="102" s="1"/>
  <c r="I225" i="102" s="1"/>
  <c r="H140" i="102"/>
  <c r="I140" i="102" s="1"/>
  <c r="G1371" i="102"/>
  <c r="I1369" i="102"/>
  <c r="H1363" i="102"/>
  <c r="I1363" i="102" s="1"/>
  <c r="H1362" i="102"/>
  <c r="I1362" i="102" s="1"/>
  <c r="H1361" i="102"/>
  <c r="I1361" i="102" s="1"/>
  <c r="H1360" i="102"/>
  <c r="I1360" i="102" s="1"/>
  <c r="H1357" i="102"/>
  <c r="I1357" i="102" s="1"/>
  <c r="H1356" i="102"/>
  <c r="I1356" i="102" s="1"/>
  <c r="H1355" i="102"/>
  <c r="I1355" i="102" s="1"/>
  <c r="H1354" i="102"/>
  <c r="I1354" i="102" s="1"/>
  <c r="A1351" i="102"/>
  <c r="G1306" i="102"/>
  <c r="I1304" i="102"/>
  <c r="H1298" i="102"/>
  <c r="I1298" i="102" s="1"/>
  <c r="H1297" i="102"/>
  <c r="I1297" i="102" s="1"/>
  <c r="H1294" i="102"/>
  <c r="I1294" i="102" s="1"/>
  <c r="H1293" i="102"/>
  <c r="I1293" i="102" s="1"/>
  <c r="H1292" i="102"/>
  <c r="I1292" i="102" s="1"/>
  <c r="H1291" i="102"/>
  <c r="I1291" i="102" s="1"/>
  <c r="A1288" i="102"/>
  <c r="G1285" i="102"/>
  <c r="I1283" i="102"/>
  <c r="H1277" i="102"/>
  <c r="I1277" i="102" s="1"/>
  <c r="H1276" i="102"/>
  <c r="I1276" i="102" s="1"/>
  <c r="H1275" i="102"/>
  <c r="I1275" i="102" s="1"/>
  <c r="H1272" i="102"/>
  <c r="I1272" i="102" s="1"/>
  <c r="H1271" i="102"/>
  <c r="I1271" i="102" s="1"/>
  <c r="H1270" i="102"/>
  <c r="I1270" i="102" s="1"/>
  <c r="H1269" i="102"/>
  <c r="I1269" i="102" s="1"/>
  <c r="A1266" i="102"/>
  <c r="G1263" i="102"/>
  <c r="I1261" i="102"/>
  <c r="H1255" i="102"/>
  <c r="I1255" i="102" s="1"/>
  <c r="H1254" i="102"/>
  <c r="I1254" i="102" s="1"/>
  <c r="H1253" i="102"/>
  <c r="I1253" i="102" s="1"/>
  <c r="H1250" i="102"/>
  <c r="I1250" i="102" s="1"/>
  <c r="H1249" i="102"/>
  <c r="I1249" i="102" s="1"/>
  <c r="H1248" i="102"/>
  <c r="I1248" i="102" s="1"/>
  <c r="H1247" i="102"/>
  <c r="I1247" i="102" s="1"/>
  <c r="A1244" i="102"/>
  <c r="G1241" i="102"/>
  <c r="I1239" i="102"/>
  <c r="H1233" i="102"/>
  <c r="I1233" i="102" s="1"/>
  <c r="H1232" i="102"/>
  <c r="I1232" i="102" s="1"/>
  <c r="H1231" i="102"/>
  <c r="I1231" i="102" s="1"/>
  <c r="H1228" i="102"/>
  <c r="I1228" i="102" s="1"/>
  <c r="H1227" i="102"/>
  <c r="I1227" i="102" s="1"/>
  <c r="H1226" i="102"/>
  <c r="I1226" i="102" s="1"/>
  <c r="H1225" i="102"/>
  <c r="I1225" i="102" s="1"/>
  <c r="A1222" i="102"/>
  <c r="G1219" i="102"/>
  <c r="I1217" i="102"/>
  <c r="H1207" i="102"/>
  <c r="I1207" i="102" s="1"/>
  <c r="H1206" i="102"/>
  <c r="I1206" i="102" s="1"/>
  <c r="H1205" i="102"/>
  <c r="I1205" i="102" s="1"/>
  <c r="H1204" i="102"/>
  <c r="I1204" i="102" s="1"/>
  <c r="A1201" i="102"/>
  <c r="G39" i="102"/>
  <c r="I36" i="102"/>
  <c r="A24" i="102"/>
  <c r="G1109" i="102"/>
  <c r="I1106" i="102"/>
  <c r="H1102" i="102"/>
  <c r="I1102" i="102" s="1"/>
  <c r="H1101" i="102"/>
  <c r="I1101" i="102" s="1"/>
  <c r="H1100" i="102"/>
  <c r="I1100" i="102" s="1"/>
  <c r="H1099" i="102"/>
  <c r="I1099" i="102" s="1"/>
  <c r="H1098" i="102"/>
  <c r="I1098" i="102" s="1"/>
  <c r="H1097" i="102"/>
  <c r="I1097" i="102" s="1"/>
  <c r="H1096" i="102"/>
  <c r="I1096" i="102" s="1"/>
  <c r="H1093" i="102"/>
  <c r="I1093" i="102" s="1"/>
  <c r="H1092" i="102"/>
  <c r="I1092" i="102" s="1"/>
  <c r="H1090" i="102"/>
  <c r="I1090" i="102" s="1"/>
  <c r="A1087" i="102"/>
  <c r="G1064" i="102"/>
  <c r="I1061" i="102"/>
  <c r="H1057" i="102"/>
  <c r="I1057" i="102" s="1"/>
  <c r="H1056" i="102"/>
  <c r="I1056" i="102" s="1"/>
  <c r="H1055" i="102"/>
  <c r="I1055" i="102" s="1"/>
  <c r="H1052" i="102"/>
  <c r="I1052" i="102" s="1"/>
  <c r="H1051" i="102"/>
  <c r="I1051" i="102" s="1"/>
  <c r="H1049" i="102"/>
  <c r="I1049" i="102" s="1"/>
  <c r="A1046" i="102"/>
  <c r="G1041" i="102"/>
  <c r="I1039" i="102"/>
  <c r="H1034" i="102"/>
  <c r="I1034" i="102" s="1"/>
  <c r="H1033" i="102"/>
  <c r="I1033" i="102" s="1"/>
  <c r="H1030" i="102"/>
  <c r="I1030" i="102" s="1"/>
  <c r="H1029" i="102"/>
  <c r="I1029" i="102" s="1"/>
  <c r="H1028" i="102"/>
  <c r="I1028" i="102" s="1"/>
  <c r="H1027" i="102"/>
  <c r="I1027" i="102" s="1"/>
  <c r="A1024" i="102"/>
  <c r="G1021" i="102"/>
  <c r="I1019" i="102"/>
  <c r="H1014" i="102"/>
  <c r="I1014" i="102" s="1"/>
  <c r="H1013" i="102"/>
  <c r="I1013" i="102" s="1"/>
  <c r="H1010" i="102"/>
  <c r="I1010" i="102" s="1"/>
  <c r="H1009" i="102"/>
  <c r="I1009" i="102" s="1"/>
  <c r="H1008" i="102"/>
  <c r="I1008" i="102" s="1"/>
  <c r="H1007" i="102"/>
  <c r="I1007" i="102" s="1"/>
  <c r="A1004" i="102"/>
  <c r="G959" i="102"/>
  <c r="I956" i="102"/>
  <c r="H952" i="102"/>
  <c r="I952" i="102" s="1"/>
  <c r="H951" i="102"/>
  <c r="I951" i="102" s="1"/>
  <c r="H948" i="102"/>
  <c r="I948" i="102" s="1"/>
  <c r="H947" i="102"/>
  <c r="I947" i="102" s="1"/>
  <c r="H946" i="102"/>
  <c r="I946" i="102" s="1"/>
  <c r="H945" i="102"/>
  <c r="I945" i="102" s="1"/>
  <c r="A942" i="102"/>
  <c r="G939" i="102"/>
  <c r="I936" i="102"/>
  <c r="H932" i="102"/>
  <c r="I932" i="102" s="1"/>
  <c r="H931" i="102"/>
  <c r="G931" i="102"/>
  <c r="H928" i="102"/>
  <c r="I928" i="102" s="1"/>
  <c r="H927" i="102"/>
  <c r="I927" i="102" s="1"/>
  <c r="H926" i="102"/>
  <c r="I926" i="102" s="1"/>
  <c r="H925" i="102"/>
  <c r="I925" i="102" s="1"/>
  <c r="A922" i="102"/>
  <c r="G919" i="102"/>
  <c r="I916" i="102"/>
  <c r="H912" i="102"/>
  <c r="I912" i="102" s="1"/>
  <c r="H911" i="102"/>
  <c r="I911" i="102" s="1"/>
  <c r="H906" i="102"/>
  <c r="I906" i="102" s="1"/>
  <c r="H905" i="102"/>
  <c r="I905" i="102" s="1"/>
  <c r="H904" i="102"/>
  <c r="I904" i="102" s="1"/>
  <c r="H903" i="102"/>
  <c r="I903" i="102" s="1"/>
  <c r="A900" i="102"/>
  <c r="G798" i="102"/>
  <c r="I796" i="102"/>
  <c r="H791" i="102"/>
  <c r="I791" i="102" s="1"/>
  <c r="H789" i="102"/>
  <c r="I789" i="102" s="1"/>
  <c r="H786" i="102"/>
  <c r="I786" i="102" s="1"/>
  <c r="H785" i="102"/>
  <c r="I785" i="102" s="1"/>
  <c r="H783" i="102"/>
  <c r="I783" i="102" s="1"/>
  <c r="A780" i="102"/>
  <c r="G694" i="102"/>
  <c r="I691" i="102"/>
  <c r="H687" i="102"/>
  <c r="I687" i="102" s="1"/>
  <c r="I688" i="102" s="1"/>
  <c r="H684" i="102"/>
  <c r="I684" i="102" s="1"/>
  <c r="H683" i="102"/>
  <c r="I683" i="102" s="1"/>
  <c r="H682" i="102"/>
  <c r="I682" i="102" s="1"/>
  <c r="H681" i="102"/>
  <c r="I681" i="102" s="1"/>
  <c r="A678" i="102"/>
  <c r="G675" i="102"/>
  <c r="I672" i="102"/>
  <c r="H668" i="102"/>
  <c r="I668" i="102" s="1"/>
  <c r="I669" i="102" s="1"/>
  <c r="H665" i="102"/>
  <c r="I665" i="102" s="1"/>
  <c r="H664" i="102"/>
  <c r="I664" i="102" s="1"/>
  <c r="H663" i="102"/>
  <c r="I663" i="102" s="1"/>
  <c r="H662" i="102"/>
  <c r="I662" i="102" s="1"/>
  <c r="A659" i="102"/>
  <c r="G656" i="102"/>
  <c r="I653" i="102"/>
  <c r="H649" i="102"/>
  <c r="I649" i="102" s="1"/>
  <c r="I650" i="102" s="1"/>
  <c r="H646" i="102"/>
  <c r="I646" i="102" s="1"/>
  <c r="H645" i="102"/>
  <c r="I645" i="102" s="1"/>
  <c r="H644" i="102"/>
  <c r="I644" i="102" s="1"/>
  <c r="H643" i="102"/>
  <c r="I643" i="102" s="1"/>
  <c r="A640" i="102"/>
  <c r="G637" i="102"/>
  <c r="I634" i="102"/>
  <c r="H630" i="102"/>
  <c r="I630" i="102" s="1"/>
  <c r="I631" i="102" s="1"/>
  <c r="H627" i="102"/>
  <c r="I627" i="102" s="1"/>
  <c r="H626" i="102"/>
  <c r="I626" i="102" s="1"/>
  <c r="H625" i="102"/>
  <c r="I625" i="102" s="1"/>
  <c r="H624" i="102"/>
  <c r="I624" i="102" s="1"/>
  <c r="A621" i="102"/>
  <c r="G599" i="102"/>
  <c r="I596" i="102"/>
  <c r="H592" i="102"/>
  <c r="I592" i="102" s="1"/>
  <c r="I593" i="102" s="1"/>
  <c r="H589" i="102"/>
  <c r="I589" i="102" s="1"/>
  <c r="H588" i="102"/>
  <c r="I588" i="102" s="1"/>
  <c r="H587" i="102"/>
  <c r="I587" i="102" s="1"/>
  <c r="H586" i="102"/>
  <c r="I586" i="102" s="1"/>
  <c r="A583" i="102"/>
  <c r="G580" i="102"/>
  <c r="I577" i="102"/>
  <c r="H573" i="102"/>
  <c r="I573" i="102" s="1"/>
  <c r="I574" i="102" s="1"/>
  <c r="H570" i="102"/>
  <c r="I570" i="102" s="1"/>
  <c r="H569" i="102"/>
  <c r="I569" i="102" s="1"/>
  <c r="H568" i="102"/>
  <c r="I568" i="102" s="1"/>
  <c r="H567" i="102"/>
  <c r="I567" i="102" s="1"/>
  <c r="A564" i="102"/>
  <c r="G561" i="102"/>
  <c r="I558" i="102"/>
  <c r="H554" i="102"/>
  <c r="I554" i="102" s="1"/>
  <c r="I555" i="102" s="1"/>
  <c r="H551" i="102"/>
  <c r="I551" i="102" s="1"/>
  <c r="H550" i="102"/>
  <c r="I550" i="102" s="1"/>
  <c r="H549" i="102"/>
  <c r="I549" i="102" s="1"/>
  <c r="H548" i="102"/>
  <c r="I548" i="102" s="1"/>
  <c r="A545" i="102"/>
  <c r="G542" i="102"/>
  <c r="I539" i="102"/>
  <c r="H535" i="102"/>
  <c r="I535" i="102" s="1"/>
  <c r="H534" i="102"/>
  <c r="I534" i="102" s="1"/>
  <c r="H530" i="102"/>
  <c r="I530" i="102" s="1"/>
  <c r="H529" i="102"/>
  <c r="I529" i="102" s="1"/>
  <c r="H528" i="102"/>
  <c r="I528" i="102" s="1"/>
  <c r="H527" i="102"/>
  <c r="I527" i="102" s="1"/>
  <c r="A524" i="102"/>
  <c r="G521" i="102"/>
  <c r="I518" i="102"/>
  <c r="H514" i="102"/>
  <c r="I514" i="102" s="1"/>
  <c r="H510" i="102"/>
  <c r="I510" i="102" s="1"/>
  <c r="H509" i="102"/>
  <c r="I509" i="102" s="1"/>
  <c r="H508" i="102"/>
  <c r="I508" i="102" s="1"/>
  <c r="H507" i="102"/>
  <c r="I507" i="102" s="1"/>
  <c r="A504" i="102"/>
  <c r="G501" i="102"/>
  <c r="I498" i="102"/>
  <c r="H494" i="102"/>
  <c r="I494" i="102" s="1"/>
  <c r="H493" i="102"/>
  <c r="I493" i="102" s="1"/>
  <c r="H492" i="102"/>
  <c r="I492" i="102" s="1"/>
  <c r="H489" i="102"/>
  <c r="I489" i="102" s="1"/>
  <c r="H488" i="102"/>
  <c r="I488" i="102" s="1"/>
  <c r="H487" i="102"/>
  <c r="I487" i="102" s="1"/>
  <c r="H486" i="102"/>
  <c r="I486" i="102" s="1"/>
  <c r="A483" i="102"/>
  <c r="G478" i="102"/>
  <c r="I476" i="102"/>
  <c r="H469" i="102"/>
  <c r="I469" i="102" s="1"/>
  <c r="H468" i="102"/>
  <c r="I468" i="102" s="1"/>
  <c r="H466" i="102"/>
  <c r="I466" i="102" s="1"/>
  <c r="A463" i="102"/>
  <c r="G460" i="102"/>
  <c r="I457" i="102"/>
  <c r="H453" i="102"/>
  <c r="I453" i="102" s="1"/>
  <c r="H449" i="102"/>
  <c r="I449" i="102" s="1"/>
  <c r="H448" i="102"/>
  <c r="I448" i="102" s="1"/>
  <c r="H446" i="102"/>
  <c r="I446" i="102" s="1"/>
  <c r="A443" i="102"/>
  <c r="G419" i="102"/>
  <c r="I416" i="102"/>
  <c r="A403" i="102"/>
  <c r="G385" i="102"/>
  <c r="H379" i="102"/>
  <c r="I379" i="102" s="1"/>
  <c r="H378" i="102"/>
  <c r="I378" i="102" s="1"/>
  <c r="H376" i="102"/>
  <c r="I376" i="102" s="1"/>
  <c r="H375" i="102"/>
  <c r="I375" i="102" s="1"/>
  <c r="H374" i="102"/>
  <c r="I374" i="102" s="1"/>
  <c r="H373" i="102"/>
  <c r="I373" i="102" s="1"/>
  <c r="H369" i="102"/>
  <c r="I369" i="102" s="1"/>
  <c r="H368" i="102"/>
  <c r="I368" i="102" s="1"/>
  <c r="H366" i="102"/>
  <c r="I366" i="102" s="1"/>
  <c r="H364" i="102"/>
  <c r="I364" i="102" s="1"/>
  <c r="A361" i="102"/>
  <c r="G358" i="102"/>
  <c r="I356" i="102"/>
  <c r="H352" i="102"/>
  <c r="I352" i="102" s="1"/>
  <c r="H351" i="102"/>
  <c r="I351" i="102" s="1"/>
  <c r="H349" i="102"/>
  <c r="I349" i="102" s="1"/>
  <c r="H348" i="102"/>
  <c r="I348" i="102" s="1"/>
  <c r="H347" i="102"/>
  <c r="I347" i="102" s="1"/>
  <c r="H346" i="102"/>
  <c r="I346" i="102" s="1"/>
  <c r="H345" i="102"/>
  <c r="I345" i="102" s="1"/>
  <c r="H342" i="102"/>
  <c r="I342" i="102" s="1"/>
  <c r="H341" i="102"/>
  <c r="I341" i="102" s="1"/>
  <c r="H339" i="102"/>
  <c r="I339" i="102" s="1"/>
  <c r="H337" i="102"/>
  <c r="I337" i="102" s="1"/>
  <c r="A334" i="102"/>
  <c r="G331" i="102"/>
  <c r="H326" i="102"/>
  <c r="I326" i="102" s="1"/>
  <c r="H325" i="102"/>
  <c r="I325" i="102" s="1"/>
  <c r="H324" i="102"/>
  <c r="I324" i="102" s="1"/>
  <c r="H323" i="102"/>
  <c r="I323" i="102" s="1"/>
  <c r="H322" i="102"/>
  <c r="I322" i="102" s="1"/>
  <c r="H321" i="102"/>
  <c r="I321" i="102" s="1"/>
  <c r="H318" i="102"/>
  <c r="I318" i="102" s="1"/>
  <c r="H317" i="102"/>
  <c r="I317" i="102" s="1"/>
  <c r="H316" i="102"/>
  <c r="I316" i="102" s="1"/>
  <c r="H315" i="102"/>
  <c r="I315" i="102" s="1"/>
  <c r="A312" i="102"/>
  <c r="G309" i="102"/>
  <c r="H304" i="102"/>
  <c r="I304" i="102" s="1"/>
  <c r="H303" i="102"/>
  <c r="I303" i="102" s="1"/>
  <c r="H299" i="102"/>
  <c r="I299" i="102" s="1"/>
  <c r="H298" i="102"/>
  <c r="I298" i="102" s="1"/>
  <c r="H296" i="102"/>
  <c r="I296" i="102" s="1"/>
  <c r="A293" i="102"/>
  <c r="G251" i="102"/>
  <c r="H245" i="102"/>
  <c r="I245" i="102" s="1"/>
  <c r="H244" i="102"/>
  <c r="G244" i="102"/>
  <c r="H241" i="102"/>
  <c r="I241" i="102" s="1"/>
  <c r="H240" i="102"/>
  <c r="I240" i="102" s="1"/>
  <c r="H238" i="102"/>
  <c r="I238" i="102" s="1"/>
  <c r="A235" i="102"/>
  <c r="G148" i="102"/>
  <c r="I146" i="102"/>
  <c r="H142" i="102"/>
  <c r="I142" i="102" s="1"/>
  <c r="H135" i="102"/>
  <c r="I135" i="102" s="1"/>
  <c r="H134" i="102"/>
  <c r="I134" i="102" s="1"/>
  <c r="H132" i="102"/>
  <c r="I132" i="102" s="1"/>
  <c r="A129" i="102"/>
  <c r="G126" i="102"/>
  <c r="H120" i="102"/>
  <c r="I120" i="102" s="1"/>
  <c r="H118" i="102"/>
  <c r="I118" i="102" s="1"/>
  <c r="H115" i="102"/>
  <c r="I115" i="102" s="1"/>
  <c r="H114" i="102"/>
  <c r="I114" i="102" s="1"/>
  <c r="H112" i="102"/>
  <c r="I112" i="102" s="1"/>
  <c r="A109" i="102"/>
  <c r="G104" i="102"/>
  <c r="I102" i="102"/>
  <c r="H98" i="102"/>
  <c r="I98" i="102" s="1"/>
  <c r="I99" i="102" s="1"/>
  <c r="H95" i="102"/>
  <c r="I95" i="102" s="1"/>
  <c r="H94" i="102"/>
  <c r="I94" i="102" s="1"/>
  <c r="A91" i="102"/>
  <c r="G88" i="102"/>
  <c r="I86" i="102"/>
  <c r="H82" i="102"/>
  <c r="I82" i="102" s="1"/>
  <c r="I83" i="102" s="1"/>
  <c r="H79" i="102"/>
  <c r="I79" i="102" s="1"/>
  <c r="H78" i="102"/>
  <c r="I78" i="102" s="1"/>
  <c r="A75" i="102"/>
  <c r="G72" i="102"/>
  <c r="I69" i="102"/>
  <c r="I70" i="102" s="1"/>
  <c r="I66" i="102"/>
  <c r="I67" i="102" s="1"/>
  <c r="H63" i="102"/>
  <c r="I63" i="102" s="1"/>
  <c r="H62" i="102"/>
  <c r="I62" i="102" s="1"/>
  <c r="A59" i="102"/>
  <c r="G56" i="102"/>
  <c r="H48" i="102"/>
  <c r="I48" i="102" s="1"/>
  <c r="H47" i="102"/>
  <c r="I47" i="102" s="1"/>
  <c r="A44" i="102"/>
  <c r="G22" i="102"/>
  <c r="H16" i="102"/>
  <c r="I16" i="102" s="1"/>
  <c r="H15" i="102"/>
  <c r="I15" i="102" s="1"/>
  <c r="H12" i="102"/>
  <c r="I12" i="102" s="1"/>
  <c r="H11" i="102"/>
  <c r="I11" i="102" s="1"/>
  <c r="H9" i="102"/>
  <c r="I9" i="102" s="1"/>
  <c r="A6" i="102"/>
  <c r="H811" i="102"/>
  <c r="I811" i="102" s="1"/>
  <c r="H1405" i="102"/>
  <c r="I1405" i="102" s="1"/>
  <c r="H1426" i="102"/>
  <c r="I1426" i="102" s="1"/>
  <c r="H748" i="102"/>
  <c r="I748" i="102" s="1"/>
  <c r="H869" i="102"/>
  <c r="I869" i="102" s="1"/>
  <c r="I870" i="102" s="1"/>
  <c r="H792" i="102"/>
  <c r="I792" i="102" s="1"/>
  <c r="H350" i="102"/>
  <c r="I350" i="102" s="1"/>
  <c r="H223" i="102"/>
  <c r="I223" i="102" s="1"/>
  <c r="H160" i="102"/>
  <c r="I160" i="102" s="1"/>
  <c r="H181" i="102"/>
  <c r="I181" i="102" s="1"/>
  <c r="H202" i="102"/>
  <c r="I202" i="102" s="1"/>
  <c r="H432" i="102"/>
  <c r="I432" i="102" s="1"/>
  <c r="H162" i="102"/>
  <c r="I162" i="102" s="1"/>
  <c r="H204" i="102"/>
  <c r="I204" i="102" s="1"/>
  <c r="H183" i="102"/>
  <c r="I183" i="102" s="1"/>
  <c r="H138" i="102"/>
  <c r="I138" i="102" s="1"/>
  <c r="H452" i="102"/>
  <c r="I452" i="102" s="1"/>
  <c r="H790" i="102"/>
  <c r="I790" i="102" s="1"/>
  <c r="H119" i="102"/>
  <c r="I119" i="102" s="1"/>
  <c r="H472" i="102"/>
  <c r="I472" i="102" s="1"/>
  <c r="I473" i="102" s="1"/>
  <c r="H377" i="102"/>
  <c r="I377" i="102" s="1"/>
  <c r="E71" i="86"/>
  <c r="M86" i="48"/>
  <c r="E25" i="86"/>
  <c r="M547" i="48"/>
  <c r="M573" i="48"/>
  <c r="M177" i="48"/>
  <c r="M84" i="48"/>
  <c r="K36" i="5"/>
  <c r="M582" i="48"/>
  <c r="H29" i="5" s="1"/>
  <c r="L31" i="109"/>
  <c r="H35" i="109"/>
  <c r="P35" i="109" s="1"/>
  <c r="R35" i="109" s="1"/>
  <c r="H39" i="109"/>
  <c r="P39" i="109" s="1"/>
  <c r="L167" i="107" l="1"/>
  <c r="L149" i="107"/>
  <c r="P149" i="107" s="1"/>
  <c r="R145" i="107" s="1"/>
  <c r="L166" i="107"/>
  <c r="P166" i="107" s="1"/>
  <c r="M307" i="48"/>
  <c r="H309" i="118"/>
  <c r="M309" i="118" s="1"/>
  <c r="P309" i="118" s="1"/>
  <c r="M343" i="48"/>
  <c r="H345" i="118"/>
  <c r="M345" i="118" s="1"/>
  <c r="P345" i="118" s="1"/>
  <c r="Q345" i="118" s="1"/>
  <c r="H533" i="102"/>
  <c r="I533" i="102" s="1"/>
  <c r="H132" i="48"/>
  <c r="H134" i="118" s="1"/>
  <c r="H135" i="118"/>
  <c r="M208" i="48"/>
  <c r="H210" i="118"/>
  <c r="M210" i="118" s="1"/>
  <c r="P210" i="118" s="1"/>
  <c r="M237" i="48"/>
  <c r="H239" i="118"/>
  <c r="M239" i="118" s="1"/>
  <c r="P239" i="118" s="1"/>
  <c r="Q239" i="118" s="1"/>
  <c r="M176" i="48"/>
  <c r="H750" i="102"/>
  <c r="I750" i="102" s="1"/>
  <c r="H158" i="48"/>
  <c r="H160" i="118" s="1"/>
  <c r="H161" i="118"/>
  <c r="M273" i="48"/>
  <c r="H275" i="118"/>
  <c r="M275" i="118" s="1"/>
  <c r="P275" i="118" s="1"/>
  <c r="Q275" i="118" s="1"/>
  <c r="M342" i="48"/>
  <c r="H344" i="118"/>
  <c r="M344" i="118" s="1"/>
  <c r="P344" i="118" s="1"/>
  <c r="P58" i="109"/>
  <c r="R58" i="109" s="1"/>
  <c r="M389" i="48"/>
  <c r="H391" i="118"/>
  <c r="M391" i="118" s="1"/>
  <c r="Q391" i="118" s="1"/>
  <c r="M379" i="48"/>
  <c r="H381" i="118"/>
  <c r="M381" i="118" s="1"/>
  <c r="P381" i="118" s="1"/>
  <c r="M125" i="48"/>
  <c r="H127" i="118"/>
  <c r="M127" i="118" s="1"/>
  <c r="P30" i="82"/>
  <c r="R128" i="82" s="1"/>
  <c r="M236" i="48"/>
  <c r="M85" i="48"/>
  <c r="H87" i="118"/>
  <c r="M87" i="118" s="1"/>
  <c r="M151" i="48"/>
  <c r="H153" i="118"/>
  <c r="M153" i="118" s="1"/>
  <c r="M272" i="48"/>
  <c r="H274" i="118"/>
  <c r="M274" i="118" s="1"/>
  <c r="P274" i="118" s="1"/>
  <c r="H351" i="48"/>
  <c r="H353" i="118" s="1"/>
  <c r="H354" i="118"/>
  <c r="M461" i="48"/>
  <c r="H463" i="118"/>
  <c r="J10" i="111"/>
  <c r="H540" i="48"/>
  <c r="P124" i="82"/>
  <c r="J126" i="82" s="1"/>
  <c r="H408" i="48"/>
  <c r="H410" i="118" s="1"/>
  <c r="H409" i="118"/>
  <c r="M308" i="48"/>
  <c r="M124" i="48"/>
  <c r="H126" i="118"/>
  <c r="M126" i="118" s="1"/>
  <c r="P126" i="118" s="1"/>
  <c r="Q126" i="118" s="1"/>
  <c r="H216" i="48"/>
  <c r="H218" i="118" s="1"/>
  <c r="H219" i="118"/>
  <c r="H316" i="48"/>
  <c r="H318" i="118" s="1"/>
  <c r="H319" i="118"/>
  <c r="M452" i="48"/>
  <c r="H454" i="118"/>
  <c r="M454" i="118" s="1"/>
  <c r="P38" i="82"/>
  <c r="R36" i="82" s="1"/>
  <c r="P131" i="82"/>
  <c r="R129" i="82" s="1"/>
  <c r="P156" i="105"/>
  <c r="R152" i="105" s="1"/>
  <c r="H52" i="112"/>
  <c r="I52" i="112" s="1"/>
  <c r="M150" i="48"/>
  <c r="H152" i="118"/>
  <c r="M152" i="118" s="1"/>
  <c r="P152" i="118" s="1"/>
  <c r="H281" i="48"/>
  <c r="H283" i="118" s="1"/>
  <c r="H284" i="118"/>
  <c r="H466" i="48"/>
  <c r="H468" i="118" s="1"/>
  <c r="H453" i="118"/>
  <c r="M453" i="118" s="1"/>
  <c r="P453" i="118" s="1"/>
  <c r="Q453" i="118" s="1"/>
  <c r="I278" i="102"/>
  <c r="L96" i="82"/>
  <c r="L84" i="82" s="1"/>
  <c r="P30" i="106"/>
  <c r="R21" i="106" s="1"/>
  <c r="P72" i="106"/>
  <c r="R63" i="106" s="1"/>
  <c r="R78" i="106" s="1"/>
  <c r="P167" i="107"/>
  <c r="H17" i="102"/>
  <c r="I17" i="102" s="1"/>
  <c r="H189" i="48"/>
  <c r="H191" i="118" s="1"/>
  <c r="H192" i="118"/>
  <c r="M209" i="48"/>
  <c r="H211" i="118"/>
  <c r="M211" i="118" s="1"/>
  <c r="H245" i="48"/>
  <c r="H247" i="118" s="1"/>
  <c r="H248" i="118"/>
  <c r="K460" i="48"/>
  <c r="J28" i="111"/>
  <c r="J49" i="111"/>
  <c r="Q21" i="118"/>
  <c r="I281" i="102"/>
  <c r="L87" i="82"/>
  <c r="J84" i="82" s="1"/>
  <c r="P84" i="82" s="1"/>
  <c r="P140" i="106"/>
  <c r="R136" i="106" s="1"/>
  <c r="K74" i="118"/>
  <c r="K21" i="48"/>
  <c r="Q381" i="118"/>
  <c r="P28" i="118"/>
  <c r="Q478" i="118"/>
  <c r="Q473" i="118"/>
  <c r="Q461" i="118"/>
  <c r="Q548" i="118"/>
  <c r="Q599" i="118"/>
  <c r="Q385" i="118"/>
  <c r="Q603" i="118"/>
  <c r="K84" i="48"/>
  <c r="K475" i="48"/>
  <c r="K184" i="48"/>
  <c r="K308" i="48"/>
  <c r="K573" i="48"/>
  <c r="K124" i="48"/>
  <c r="K59" i="48"/>
  <c r="K342" i="48"/>
  <c r="K22" i="48"/>
  <c r="K51" i="48"/>
  <c r="K343" i="48"/>
  <c r="K379" i="48"/>
  <c r="K26" i="118"/>
  <c r="K451" i="48"/>
  <c r="K476" i="48"/>
  <c r="C51" i="86"/>
  <c r="K594" i="118" s="1"/>
  <c r="K209" i="48"/>
  <c r="K85" i="48"/>
  <c r="K151" i="48"/>
  <c r="K452" i="48"/>
  <c r="K86" i="48"/>
  <c r="K208" i="48"/>
  <c r="K461" i="48"/>
  <c r="K176" i="48"/>
  <c r="K77" i="48"/>
  <c r="K177" i="48"/>
  <c r="K78" i="48"/>
  <c r="K236" i="48"/>
  <c r="K307" i="48"/>
  <c r="K471" i="48"/>
  <c r="K20" i="48"/>
  <c r="K273" i="48"/>
  <c r="C79" i="86"/>
  <c r="K436" i="118" s="1"/>
  <c r="K382" i="48"/>
  <c r="K459" i="48"/>
  <c r="K456" i="48"/>
  <c r="K17" i="48"/>
  <c r="K52" i="48"/>
  <c r="K453" i="48"/>
  <c r="K18" i="48"/>
  <c r="K60" i="48"/>
  <c r="K389" i="48"/>
  <c r="K19" i="48"/>
  <c r="K594" i="48"/>
  <c r="K413" i="48"/>
  <c r="J64" i="111"/>
  <c r="P126" i="82"/>
  <c r="R118" i="82" s="1"/>
  <c r="R162" i="106"/>
  <c r="H346" i="48"/>
  <c r="H348" i="118" s="1"/>
  <c r="H532" i="48"/>
  <c r="H534" i="118" s="1"/>
  <c r="H536" i="48"/>
  <c r="H538" i="118" s="1"/>
  <c r="P99" i="82"/>
  <c r="P108" i="82" s="1"/>
  <c r="H81" i="82" s="1"/>
  <c r="L81" i="82" s="1"/>
  <c r="R79" i="82" s="1"/>
  <c r="H184" i="48"/>
  <c r="R98" i="105"/>
  <c r="P454" i="118"/>
  <c r="Q454" i="118" s="1"/>
  <c r="H312" i="48"/>
  <c r="H314" i="118" s="1"/>
  <c r="P391" i="118"/>
  <c r="H48" i="82"/>
  <c r="P48" i="82" s="1"/>
  <c r="J49" i="82" s="1"/>
  <c r="P49" i="82" s="1"/>
  <c r="R45" i="82" s="1"/>
  <c r="H42" i="82"/>
  <c r="P42" i="82" s="1"/>
  <c r="H43" i="82" s="1"/>
  <c r="P43" i="82" s="1"/>
  <c r="R40" i="82" s="1"/>
  <c r="H52" i="82"/>
  <c r="P52" i="82" s="1"/>
  <c r="R51" i="82" s="1"/>
  <c r="H399" i="48"/>
  <c r="H401" i="118" s="1"/>
  <c r="H403" i="48"/>
  <c r="H405" i="118" s="1"/>
  <c r="P455" i="118"/>
  <c r="Q455" i="118" s="1"/>
  <c r="H41" i="48"/>
  <c r="H43" i="118" s="1"/>
  <c r="R60" i="109"/>
  <c r="P86" i="118"/>
  <c r="Q86" i="118"/>
  <c r="N90" i="118"/>
  <c r="H337" i="48"/>
  <c r="H339" i="118" s="1"/>
  <c r="H106" i="48"/>
  <c r="H108" i="118" s="1"/>
  <c r="H61" i="82"/>
  <c r="P61" i="82" s="1"/>
  <c r="H56" i="82"/>
  <c r="P153" i="118"/>
  <c r="Q153" i="118" s="1"/>
  <c r="P211" i="118"/>
  <c r="Q211" i="118" s="1"/>
  <c r="H277" i="48"/>
  <c r="H279" i="118" s="1"/>
  <c r="R121" i="106"/>
  <c r="H311" i="48"/>
  <c r="H313" i="118" s="1"/>
  <c r="P87" i="118"/>
  <c r="Q87" i="118" s="1"/>
  <c r="H302" i="48"/>
  <c r="H304" i="118" s="1"/>
  <c r="H181" i="48"/>
  <c r="H183" i="118" s="1"/>
  <c r="H100" i="48"/>
  <c r="H102" i="118" s="1"/>
  <c r="R68" i="82"/>
  <c r="H117" i="48"/>
  <c r="H119" i="118" s="1"/>
  <c r="H276" i="48"/>
  <c r="H278" i="118" s="1"/>
  <c r="H372" i="48"/>
  <c r="H374" i="118" s="1"/>
  <c r="P168" i="107"/>
  <c r="R165" i="107" s="1"/>
  <c r="H213" i="48"/>
  <c r="H215" i="118" s="1"/>
  <c r="H229" i="48"/>
  <c r="H231" i="118" s="1"/>
  <c r="R36" i="106"/>
  <c r="H240" i="48"/>
  <c r="H266" i="48"/>
  <c r="H268" i="118" s="1"/>
  <c r="H39" i="48"/>
  <c r="H41" i="118" s="1"/>
  <c r="H186" i="48"/>
  <c r="H188" i="118" s="1"/>
  <c r="H202" i="48"/>
  <c r="H204" i="118" s="1"/>
  <c r="H1780" i="102"/>
  <c r="I1780" i="102" s="1"/>
  <c r="I1783" i="102" s="1"/>
  <c r="H1503" i="102"/>
  <c r="I1503" i="102" s="1"/>
  <c r="H1582" i="102"/>
  <c r="I1582" i="102" s="1"/>
  <c r="H845" i="102"/>
  <c r="I845" i="102" s="1"/>
  <c r="H176" i="102"/>
  <c r="I176" i="102" s="1"/>
  <c r="H784" i="102"/>
  <c r="I784" i="102" s="1"/>
  <c r="H1663" i="102"/>
  <c r="I1663" i="102" s="1"/>
  <c r="H1484" i="102"/>
  <c r="I1484" i="102" s="1"/>
  <c r="H883" i="102"/>
  <c r="I883" i="102" s="1"/>
  <c r="I886" i="102" s="1"/>
  <c r="I894" i="102" s="1"/>
  <c r="H826" i="102"/>
  <c r="I826" i="102" s="1"/>
  <c r="I829" i="102" s="1"/>
  <c r="H1399" i="102"/>
  <c r="I1399" i="102" s="1"/>
  <c r="I1402" i="102" s="1"/>
  <c r="H1723" i="102"/>
  <c r="I1723" i="102" s="1"/>
  <c r="I1726" i="102" s="1"/>
  <c r="H1379" i="102"/>
  <c r="I1379" i="102" s="1"/>
  <c r="I1382" i="102" s="1"/>
  <c r="H805" i="102"/>
  <c r="I805" i="102" s="1"/>
  <c r="I808" i="102" s="1"/>
  <c r="H113" i="102"/>
  <c r="I113" i="102" s="1"/>
  <c r="I116" i="102" s="1"/>
  <c r="H742" i="102"/>
  <c r="I742" i="102" s="1"/>
  <c r="I745" i="102" s="1"/>
  <c r="H1562" i="102"/>
  <c r="I1562" i="102" s="1"/>
  <c r="I1565" i="102" s="1"/>
  <c r="H197" i="102"/>
  <c r="I197" i="102" s="1"/>
  <c r="H155" i="102"/>
  <c r="I155" i="102" s="1"/>
  <c r="H365" i="102"/>
  <c r="I365" i="102" s="1"/>
  <c r="H218" i="102"/>
  <c r="I218" i="102" s="1"/>
  <c r="H133" i="102"/>
  <c r="I133" i="102" s="1"/>
  <c r="H763" i="102"/>
  <c r="I763" i="102" s="1"/>
  <c r="E14" i="103"/>
  <c r="H1760" i="102"/>
  <c r="I1760" i="102" s="1"/>
  <c r="I1763" i="102" s="1"/>
  <c r="H1643" i="102"/>
  <c r="I1643" i="102" s="1"/>
  <c r="H1542" i="102"/>
  <c r="I1542" i="102" s="1"/>
  <c r="I1545" i="102" s="1"/>
  <c r="H1464" i="102"/>
  <c r="I1464" i="102" s="1"/>
  <c r="H426" i="102"/>
  <c r="I426" i="102" s="1"/>
  <c r="I429" i="102" s="1"/>
  <c r="H447" i="102"/>
  <c r="I447" i="102" s="1"/>
  <c r="I450" i="102" s="1"/>
  <c r="H338" i="102"/>
  <c r="I338" i="102" s="1"/>
  <c r="H1703" i="102"/>
  <c r="I1703" i="102" s="1"/>
  <c r="I1706" i="102" s="1"/>
  <c r="H407" i="102"/>
  <c r="I407" i="102" s="1"/>
  <c r="I410" i="102" s="1"/>
  <c r="I418" i="102" s="1"/>
  <c r="I419" i="102" s="1"/>
  <c r="I420" i="102" s="1"/>
  <c r="J403" i="102" s="1"/>
  <c r="D30" i="86" s="1"/>
  <c r="H1840" i="102"/>
  <c r="I1840" i="102" s="1"/>
  <c r="H1442" i="102"/>
  <c r="I1442" i="102" s="1"/>
  <c r="H1602" i="102"/>
  <c r="I1602" i="102" s="1"/>
  <c r="H1800" i="102"/>
  <c r="I1800" i="102" s="1"/>
  <c r="H1623" i="102"/>
  <c r="I1623" i="102" s="1"/>
  <c r="H1820" i="102"/>
  <c r="I1820" i="102" s="1"/>
  <c r="H1683" i="102"/>
  <c r="I1683" i="102" s="1"/>
  <c r="H1522" i="102"/>
  <c r="I1522" i="102" s="1"/>
  <c r="H1420" i="102"/>
  <c r="I1420" i="102" s="1"/>
  <c r="H467" i="102"/>
  <c r="I467" i="102" s="1"/>
  <c r="I470" i="102" s="1"/>
  <c r="I477" i="102" s="1"/>
  <c r="H91" i="48"/>
  <c r="H93" i="118" s="1"/>
  <c r="P127" i="118"/>
  <c r="Q127" i="118"/>
  <c r="H145" i="48"/>
  <c r="H147" i="118" s="1"/>
  <c r="H171" i="48"/>
  <c r="H173" i="118" s="1"/>
  <c r="P59" i="107"/>
  <c r="P60" i="107" s="1"/>
  <c r="R57" i="107" s="1"/>
  <c r="H347" i="48"/>
  <c r="H349" i="118" s="1"/>
  <c r="P532" i="118"/>
  <c r="Q532" i="118" s="1"/>
  <c r="Q179" i="118"/>
  <c r="Q552" i="118"/>
  <c r="M463" i="118"/>
  <c r="P17" i="116"/>
  <c r="R17" i="116" s="1"/>
  <c r="M582" i="118" s="1"/>
  <c r="N28" i="118"/>
  <c r="Q458" i="118"/>
  <c r="Q474" i="118"/>
  <c r="M451" i="48"/>
  <c r="H771" i="102"/>
  <c r="I771" i="102" s="1"/>
  <c r="H182" i="102"/>
  <c r="I182" i="102" s="1"/>
  <c r="I185" i="102" s="1"/>
  <c r="Q18" i="118"/>
  <c r="Q26" i="118"/>
  <c r="Q210" i="118"/>
  <c r="R24" i="114"/>
  <c r="Q152" i="118"/>
  <c r="Q444" i="118"/>
  <c r="Q604" i="118"/>
  <c r="H302" i="102"/>
  <c r="I302" i="102" s="1"/>
  <c r="C63" i="86"/>
  <c r="K187" i="118" s="1"/>
  <c r="C69" i="86"/>
  <c r="H161" i="102"/>
  <c r="I161" i="102" s="1"/>
  <c r="I747" i="102"/>
  <c r="I751" i="102" s="1"/>
  <c r="J47" i="107"/>
  <c r="J155" i="107"/>
  <c r="H139" i="102"/>
  <c r="I139" i="102" s="1"/>
  <c r="I143" i="102" s="1"/>
  <c r="H203" i="102"/>
  <c r="I203" i="102" s="1"/>
  <c r="I206" i="102" s="1"/>
  <c r="Q238" i="118"/>
  <c r="Q575" i="118"/>
  <c r="Q605" i="118"/>
  <c r="K22" i="118"/>
  <c r="I768" i="102"/>
  <c r="Q274" i="118"/>
  <c r="Q462" i="118"/>
  <c r="Q598" i="118"/>
  <c r="Q416" i="118"/>
  <c r="P40" i="109"/>
  <c r="R37" i="109" s="1"/>
  <c r="Q479" i="118"/>
  <c r="I280" i="102"/>
  <c r="P64" i="114"/>
  <c r="R62" i="114" s="1"/>
  <c r="H76" i="48" s="1"/>
  <c r="H78" i="118" s="1"/>
  <c r="Q23" i="118"/>
  <c r="Q178" i="118"/>
  <c r="Q344" i="118"/>
  <c r="P23" i="114"/>
  <c r="R23" i="114" s="1"/>
  <c r="N582" i="48"/>
  <c r="M26" i="48"/>
  <c r="J16" i="5" s="1"/>
  <c r="L33" i="109"/>
  <c r="H41" i="109" s="1"/>
  <c r="P41" i="109" s="1"/>
  <c r="R41" i="109" s="1"/>
  <c r="R68" i="114"/>
  <c r="H78" i="48" s="1"/>
  <c r="H80" i="118" s="1"/>
  <c r="H77" i="48"/>
  <c r="H79" i="118" s="1"/>
  <c r="H1765" i="102"/>
  <c r="H1766" i="102" s="1"/>
  <c r="I1766" i="102" s="1"/>
  <c r="H29" i="102"/>
  <c r="I29" i="102" s="1"/>
  <c r="H30" i="102"/>
  <c r="I30" i="102" s="1"/>
  <c r="H31" i="102"/>
  <c r="I31" i="102" s="1"/>
  <c r="H32" i="102"/>
  <c r="I32" i="102" s="1"/>
  <c r="I1875" i="102"/>
  <c r="I1876" i="102" s="1"/>
  <c r="I1877" i="102" s="1"/>
  <c r="J1867" i="102" s="1"/>
  <c r="D137" i="86" s="1"/>
  <c r="H1729" i="102"/>
  <c r="I1729" i="102" s="1"/>
  <c r="I1730" i="102" s="1"/>
  <c r="I227" i="102"/>
  <c r="C80" i="86"/>
  <c r="K568" i="118" s="1"/>
  <c r="C96" i="86"/>
  <c r="C8" i="86"/>
  <c r="C72" i="86"/>
  <c r="K109" i="118" s="1"/>
  <c r="C121" i="86"/>
  <c r="C24" i="86"/>
  <c r="K98" i="118" s="1"/>
  <c r="C18" i="86"/>
  <c r="K39" i="48" s="1"/>
  <c r="C57" i="86"/>
  <c r="K107" i="118" s="1"/>
  <c r="C52" i="86"/>
  <c r="K543" i="48" s="1"/>
  <c r="I244" i="102"/>
  <c r="I246" i="102" s="1"/>
  <c r="I398" i="102"/>
  <c r="I1213" i="102"/>
  <c r="C78" i="86"/>
  <c r="K509" i="118" s="1"/>
  <c r="C83" i="86"/>
  <c r="K219" i="118" s="1"/>
  <c r="H391" i="102"/>
  <c r="I391" i="102" s="1"/>
  <c r="C91" i="86"/>
  <c r="H392" i="102"/>
  <c r="I392" i="102" s="1"/>
  <c r="H393" i="102"/>
  <c r="I393" i="102" s="1"/>
  <c r="K417" i="48"/>
  <c r="K125" i="48"/>
  <c r="H394" i="102"/>
  <c r="I394" i="102" s="1"/>
  <c r="K68" i="118"/>
  <c r="C81" i="86"/>
  <c r="C102" i="86"/>
  <c r="K257" i="118" s="1"/>
  <c r="C40" i="86"/>
  <c r="I931" i="102"/>
  <c r="H60" i="48"/>
  <c r="H62" i="118" s="1"/>
  <c r="H58" i="48"/>
  <c r="H60" i="118" s="1"/>
  <c r="H56" i="48"/>
  <c r="H58" i="118" s="1"/>
  <c r="H48" i="48"/>
  <c r="H50" i="118" s="1"/>
  <c r="H52" i="48"/>
  <c r="H54" i="118" s="1"/>
  <c r="H50" i="48"/>
  <c r="H52" i="118" s="1"/>
  <c r="H51" i="48"/>
  <c r="H53" i="118" s="1"/>
  <c r="H30" i="48"/>
  <c r="H32" i="118" s="1"/>
  <c r="H31" i="48"/>
  <c r="H33" i="118" s="1"/>
  <c r="P44" i="114"/>
  <c r="R44" i="114" s="1"/>
  <c r="H65" i="48"/>
  <c r="H67" i="118" s="1"/>
  <c r="H66" i="48"/>
  <c r="H68" i="118" s="1"/>
  <c r="I49" i="102"/>
  <c r="I55" i="102" s="1"/>
  <c r="I56" i="102" s="1"/>
  <c r="I18" i="102"/>
  <c r="I1321" i="102"/>
  <c r="I72" i="112"/>
  <c r="H1709" i="102"/>
  <c r="I1709" i="102" s="1"/>
  <c r="I1710" i="102" s="1"/>
  <c r="I953" i="102"/>
  <c r="I305" i="102"/>
  <c r="I1257" i="102"/>
  <c r="I1229" i="102"/>
  <c r="I1273" i="102"/>
  <c r="I1300" i="102"/>
  <c r="I221" i="102"/>
  <c r="I929" i="102"/>
  <c r="I1467" i="102"/>
  <c r="I136" i="102"/>
  <c r="I1447" i="102"/>
  <c r="I1451" i="102" s="1"/>
  <c r="I975" i="102"/>
  <c r="I80" i="102"/>
  <c r="I87" i="102" s="1"/>
  <c r="I88" i="102" s="1"/>
  <c r="I89" i="102" s="1"/>
  <c r="J75" i="102" s="1"/>
  <c r="D13" i="86" s="1"/>
  <c r="I1035" i="102"/>
  <c r="I434" i="102"/>
  <c r="I1569" i="102"/>
  <c r="K596" i="48"/>
  <c r="I723" i="102"/>
  <c r="H1669" i="102"/>
  <c r="I1669" i="102" s="1"/>
  <c r="I1670" i="102" s="1"/>
  <c r="K477" i="48"/>
  <c r="K552" i="118"/>
  <c r="K62" i="118"/>
  <c r="K275" i="118"/>
  <c r="I164" i="102"/>
  <c r="I1103" i="102"/>
  <c r="K546" i="48"/>
  <c r="K580" i="48"/>
  <c r="K597" i="48"/>
  <c r="K513" i="48"/>
  <c r="K309" i="118"/>
  <c r="K419" i="118"/>
  <c r="H1826" i="102"/>
  <c r="I1826" i="102" s="1"/>
  <c r="I1827" i="102" s="1"/>
  <c r="I91" i="112"/>
  <c r="I647" i="102"/>
  <c r="I655" i="102" s="1"/>
  <c r="I814" i="102"/>
  <c r="K397" i="48"/>
  <c r="K442" i="48"/>
  <c r="K600" i="48"/>
  <c r="K532" i="118"/>
  <c r="K587" i="118"/>
  <c r="K599" i="118"/>
  <c r="K478" i="118"/>
  <c r="I111" i="112"/>
  <c r="I454" i="102"/>
  <c r="I96" i="102"/>
  <c r="I103" i="102" s="1"/>
  <c r="I104" i="102" s="1"/>
  <c r="I105" i="102" s="1"/>
  <c r="J91" i="102" s="1"/>
  <c r="I490" i="102"/>
  <c r="I531" i="102"/>
  <c r="I1015" i="102"/>
  <c r="K547" i="48"/>
  <c r="K66" i="48"/>
  <c r="I1058" i="102"/>
  <c r="I1279" i="102"/>
  <c r="I1358" i="102"/>
  <c r="K237" i="48"/>
  <c r="K585" i="48"/>
  <c r="K23" i="48"/>
  <c r="I552" i="102"/>
  <c r="I560" i="102" s="1"/>
  <c r="I590" i="102"/>
  <c r="I598" i="102" s="1"/>
  <c r="K150" i="48"/>
  <c r="K272" i="48"/>
  <c r="K383" i="48"/>
  <c r="K472" i="48"/>
  <c r="K586" i="48"/>
  <c r="K16" i="48"/>
  <c r="K24" i="48"/>
  <c r="I1316" i="102"/>
  <c r="K601" i="48"/>
  <c r="I1549" i="102"/>
  <c r="K179" i="118"/>
  <c r="K54" i="118"/>
  <c r="K605" i="118"/>
  <c r="K53" i="118"/>
  <c r="I1078" i="102"/>
  <c r="K602" i="48"/>
  <c r="K455" i="118"/>
  <c r="K479" i="118"/>
  <c r="K399" i="118"/>
  <c r="K462" i="118"/>
  <c r="I1765" i="102"/>
  <c r="I1767" i="102" s="1"/>
  <c r="K603" i="48"/>
  <c r="K530" i="48"/>
  <c r="K384" i="118"/>
  <c r="K458" i="118"/>
  <c r="K86" i="118"/>
  <c r="K602" i="118"/>
  <c r="H1786" i="102"/>
  <c r="I1786" i="102" s="1"/>
  <c r="I1785" i="102"/>
  <c r="K593" i="48"/>
  <c r="K495" i="48"/>
  <c r="K598" i="118"/>
  <c r="K604" i="118"/>
  <c r="K381" i="118"/>
  <c r="K588" i="118"/>
  <c r="I64" i="102"/>
  <c r="I71" i="102" s="1"/>
  <c r="I72" i="102" s="1"/>
  <c r="I1295" i="102"/>
  <c r="I1646" i="102"/>
  <c r="I793" i="102"/>
  <c r="I495" i="102"/>
  <c r="I536" i="102"/>
  <c r="I685" i="102"/>
  <c r="I693" i="102" s="1"/>
  <c r="I694" i="102" s="1"/>
  <c r="I695" i="102" s="1"/>
  <c r="J678" i="102" s="1"/>
  <c r="D46" i="86" s="1"/>
  <c r="I319" i="102"/>
  <c r="I933" i="102"/>
  <c r="I1123" i="102"/>
  <c r="I1686" i="102"/>
  <c r="I1407" i="102"/>
  <c r="I1487" i="102"/>
  <c r="I1495" i="102" s="1"/>
  <c r="I1496" i="102" s="1"/>
  <c r="I1497" i="102" s="1"/>
  <c r="J1480" i="102" s="1"/>
  <c r="D92" i="86" s="1"/>
  <c r="I1626" i="102"/>
  <c r="I121" i="102"/>
  <c r="I511" i="102"/>
  <c r="I907" i="102"/>
  <c r="I913" i="102"/>
  <c r="I1235" i="102"/>
  <c r="I1666" i="102"/>
  <c r="I971" i="102"/>
  <c r="I628" i="102"/>
  <c r="I636" i="102" s="1"/>
  <c r="I637" i="102" s="1"/>
  <c r="I638" i="102" s="1"/>
  <c r="J621" i="102" s="1"/>
  <c r="D43" i="86" s="1"/>
  <c r="I848" i="102"/>
  <c r="I1585" i="102"/>
  <c r="I766" i="102"/>
  <c r="I1803" i="102"/>
  <c r="I1251" i="102"/>
  <c r="I53" i="112"/>
  <c r="I833" i="102"/>
  <c r="I266" i="102"/>
  <c r="H1428" i="102"/>
  <c r="I1428" i="102" s="1"/>
  <c r="I1429" i="102" s="1"/>
  <c r="I327" i="102"/>
  <c r="K535" i="102"/>
  <c r="I515" i="102"/>
  <c r="H1846" i="102"/>
  <c r="I1846" i="102" s="1"/>
  <c r="I1847" i="102" s="1"/>
  <c r="I1167" i="102"/>
  <c r="C14" i="86"/>
  <c r="K73" i="118" s="1"/>
  <c r="C87" i="86"/>
  <c r="I353" i="102"/>
  <c r="I380" i="102"/>
  <c r="I1011" i="102"/>
  <c r="I1208" i="102"/>
  <c r="I1218" i="102" s="1"/>
  <c r="I179" i="102"/>
  <c r="I200" i="102"/>
  <c r="C53" i="86"/>
  <c r="C70" i="86"/>
  <c r="C42" i="86"/>
  <c r="C89" i="86"/>
  <c r="C21" i="86"/>
  <c r="C61" i="86"/>
  <c r="C30" i="86"/>
  <c r="C47" i="86"/>
  <c r="C103" i="86"/>
  <c r="C48" i="86"/>
  <c r="C13" i="86"/>
  <c r="C22" i="86"/>
  <c r="C32" i="86"/>
  <c r="C54" i="86"/>
  <c r="C125" i="86"/>
  <c r="C68" i="86"/>
  <c r="C84" i="86"/>
  <c r="C37" i="86"/>
  <c r="C33" i="86"/>
  <c r="C77" i="86"/>
  <c r="K507" i="118" s="1"/>
  <c r="C67" i="86"/>
  <c r="C25" i="86"/>
  <c r="C20" i="86"/>
  <c r="C31" i="86"/>
  <c r="I158" i="102"/>
  <c r="I571" i="102"/>
  <c r="I579" i="102" s="1"/>
  <c r="C19" i="86"/>
  <c r="C122" i="86"/>
  <c r="I787" i="102"/>
  <c r="I991" i="102"/>
  <c r="I949" i="102"/>
  <c r="C124" i="86"/>
  <c r="C95" i="86"/>
  <c r="C94" i="86"/>
  <c r="I1365" i="102"/>
  <c r="I995" i="102"/>
  <c r="C11" i="86"/>
  <c r="K72" i="118" s="1"/>
  <c r="C44" i="86"/>
  <c r="C64" i="86"/>
  <c r="C39" i="86"/>
  <c r="C128" i="86"/>
  <c r="C73" i="86"/>
  <c r="C92" i="86"/>
  <c r="I666" i="102"/>
  <c r="I674" i="102" s="1"/>
  <c r="I1031" i="102"/>
  <c r="H1629" i="102"/>
  <c r="I1629" i="102" s="1"/>
  <c r="I1630" i="102" s="1"/>
  <c r="C90" i="86"/>
  <c r="C93" i="86"/>
  <c r="C97" i="86"/>
  <c r="C105" i="86"/>
  <c r="C123" i="86"/>
  <c r="C127" i="86"/>
  <c r="C27" i="86"/>
  <c r="C23" i="86"/>
  <c r="C62" i="86"/>
  <c r="C43" i="86"/>
  <c r="C74" i="86"/>
  <c r="C71" i="86"/>
  <c r="C104" i="86"/>
  <c r="C101" i="86"/>
  <c r="C56" i="86"/>
  <c r="C58" i="86"/>
  <c r="C126" i="86"/>
  <c r="C82" i="86"/>
  <c r="C38" i="86"/>
  <c r="C45" i="86"/>
  <c r="C98" i="86"/>
  <c r="C106" i="86"/>
  <c r="C88" i="86"/>
  <c r="C55" i="86"/>
  <c r="C26" i="86"/>
  <c r="K96" i="118" s="1"/>
  <c r="C46" i="86"/>
  <c r="C36" i="86"/>
  <c r="C12" i="86"/>
  <c r="C41" i="86"/>
  <c r="I1337" i="102"/>
  <c r="I34" i="112"/>
  <c r="I852" i="102"/>
  <c r="I1525" i="102"/>
  <c r="I1589" i="102"/>
  <c r="I1144" i="102"/>
  <c r="I609" i="102"/>
  <c r="I617" i="102" s="1"/>
  <c r="I1190" i="102"/>
  <c r="I1423" i="102"/>
  <c r="I1506" i="102"/>
  <c r="I1514" i="102" s="1"/>
  <c r="I1515" i="102" s="1"/>
  <c r="I1516" i="102" s="1"/>
  <c r="J1499" i="102" s="1"/>
  <c r="D93" i="86" s="1"/>
  <c r="I1823" i="102"/>
  <c r="I1605" i="102"/>
  <c r="I1613" i="102" s="1"/>
  <c r="I1614" i="102" s="1"/>
  <c r="I1615" i="102" s="1"/>
  <c r="J1598" i="102" s="1"/>
  <c r="D98" i="86" s="1"/>
  <c r="I1843" i="102"/>
  <c r="I1445" i="102"/>
  <c r="I1342" i="102"/>
  <c r="I1529" i="102"/>
  <c r="I704" i="102"/>
  <c r="I712" i="102" s="1"/>
  <c r="H1649" i="102"/>
  <c r="I1649" i="102" s="1"/>
  <c r="I1650" i="102" s="1"/>
  <c r="K582" i="118"/>
  <c r="K345" i="118"/>
  <c r="H1689" i="102"/>
  <c r="I1689" i="102" s="1"/>
  <c r="I1690" i="102" s="1"/>
  <c r="K550" i="48"/>
  <c r="K20" i="118"/>
  <c r="K127" i="118"/>
  <c r="K153" i="118"/>
  <c r="K385" i="118"/>
  <c r="K416" i="118"/>
  <c r="K515" i="118"/>
  <c r="K88" i="118"/>
  <c r="I399" i="102"/>
  <c r="J388" i="102" s="1"/>
  <c r="H1470" i="102"/>
  <c r="I1470" i="102" s="1"/>
  <c r="I1471" i="102" s="1"/>
  <c r="K186" i="118"/>
  <c r="K477" i="118"/>
  <c r="K474" i="118"/>
  <c r="K461" i="118"/>
  <c r="K463" i="118"/>
  <c r="K239" i="118"/>
  <c r="K454" i="118"/>
  <c r="H1385" i="102"/>
  <c r="I1385" i="102" s="1"/>
  <c r="I1386" i="102" s="1"/>
  <c r="K497" i="118"/>
  <c r="K211" i="118"/>
  <c r="K18" i="118"/>
  <c r="K23" i="118"/>
  <c r="K238" i="118"/>
  <c r="I1805" i="102"/>
  <c r="I1807" i="102" s="1"/>
  <c r="H726" i="102"/>
  <c r="I726" i="102" s="1"/>
  <c r="I727" i="102" s="1"/>
  <c r="K152" i="118"/>
  <c r="K210" i="118"/>
  <c r="K596" i="118"/>
  <c r="K87" i="118"/>
  <c r="K79" i="118"/>
  <c r="K603" i="118"/>
  <c r="K178" i="118"/>
  <c r="K549" i="118"/>
  <c r="K310" i="118"/>
  <c r="Q588" i="118"/>
  <c r="K444" i="118"/>
  <c r="K344" i="118"/>
  <c r="K61" i="118"/>
  <c r="K391" i="118"/>
  <c r="K25" i="118"/>
  <c r="K453" i="118"/>
  <c r="K19" i="118"/>
  <c r="K548" i="118"/>
  <c r="K21" i="118"/>
  <c r="K473" i="118"/>
  <c r="K595" i="118"/>
  <c r="K274" i="118"/>
  <c r="K575" i="118"/>
  <c r="K126" i="118"/>
  <c r="K80" i="118"/>
  <c r="K24" i="118"/>
  <c r="K415" i="118"/>
  <c r="K72" i="48"/>
  <c r="M88" i="48"/>
  <c r="H16" i="5"/>
  <c r="Q309" i="118" l="1"/>
  <c r="I772" i="102"/>
  <c r="H267" i="48"/>
  <c r="H269" i="118" s="1"/>
  <c r="H242" i="118"/>
  <c r="M184" i="48"/>
  <c r="H186" i="118"/>
  <c r="M186" i="118" s="1"/>
  <c r="H541" i="48"/>
  <c r="H543" i="118" s="1"/>
  <c r="H542" i="118"/>
  <c r="K434" i="48"/>
  <c r="Q28" i="118"/>
  <c r="Q90" i="118"/>
  <c r="I818" i="102"/>
  <c r="K592" i="48"/>
  <c r="K542" i="48"/>
  <c r="K544" i="118"/>
  <c r="K411" i="118"/>
  <c r="K409" i="48"/>
  <c r="I1715" i="102"/>
  <c r="I1716" i="102" s="1"/>
  <c r="I1717" i="102" s="1"/>
  <c r="J1699" i="102" s="1"/>
  <c r="D105" i="86" s="1"/>
  <c r="L329" i="48" s="1"/>
  <c r="M329" i="48" s="1"/>
  <c r="H107" i="48"/>
  <c r="H109" i="118" s="1"/>
  <c r="H402" i="48"/>
  <c r="H404" i="118" s="1"/>
  <c r="H242" i="48"/>
  <c r="H244" i="118" s="1"/>
  <c r="H101" i="48"/>
  <c r="H103" i="118" s="1"/>
  <c r="H116" i="48"/>
  <c r="H118" i="118" s="1"/>
  <c r="P186" i="118"/>
  <c r="Q186" i="118" s="1"/>
  <c r="P155" i="107"/>
  <c r="H156" i="107" s="1"/>
  <c r="P156" i="107" s="1"/>
  <c r="R151" i="107" s="1"/>
  <c r="H161" i="107"/>
  <c r="P161" i="107" s="1"/>
  <c r="H162" i="107" s="1"/>
  <c r="P162" i="107" s="1"/>
  <c r="H163" i="107" s="1"/>
  <c r="P163" i="107" s="1"/>
  <c r="R152" i="107" s="1"/>
  <c r="P56" i="82"/>
  <c r="R55" i="82" s="1"/>
  <c r="R72" i="82"/>
  <c r="H185" i="48"/>
  <c r="H187" i="118" s="1"/>
  <c r="R124" i="105"/>
  <c r="K185" i="48"/>
  <c r="P47" i="107"/>
  <c r="H48" i="107" s="1"/>
  <c r="P48" i="107" s="1"/>
  <c r="R43" i="107" s="1"/>
  <c r="H53" i="107"/>
  <c r="P53" i="107" s="1"/>
  <c r="H54" i="107" s="1"/>
  <c r="P54" i="107" s="1"/>
  <c r="H55" i="107" s="1"/>
  <c r="P55" i="107" s="1"/>
  <c r="R44" i="107" s="1"/>
  <c r="R58" i="82"/>
  <c r="H63" i="82"/>
  <c r="P63" i="82" s="1"/>
  <c r="H535" i="48"/>
  <c r="H537" i="118" s="1"/>
  <c r="H94" i="48"/>
  <c r="H96" i="118" s="1"/>
  <c r="P582" i="118"/>
  <c r="Q582" i="118"/>
  <c r="H92" i="48"/>
  <c r="H94" i="118" s="1"/>
  <c r="P463" i="118"/>
  <c r="Q463" i="118" s="1"/>
  <c r="H93" i="48"/>
  <c r="H95" i="118" s="1"/>
  <c r="H313" i="48"/>
  <c r="H315" i="118" s="1"/>
  <c r="H348" i="48"/>
  <c r="H350" i="118" s="1"/>
  <c r="H278" i="48"/>
  <c r="H280" i="118" s="1"/>
  <c r="P90" i="118"/>
  <c r="H115" i="48"/>
  <c r="H117" i="118" s="1"/>
  <c r="H279" i="102"/>
  <c r="I279" i="102" s="1"/>
  <c r="I282" i="102" s="1"/>
  <c r="I289" i="102" s="1"/>
  <c r="I290" i="102" s="1"/>
  <c r="I291" i="102" s="1"/>
  <c r="J275" i="102" s="1"/>
  <c r="D24" i="86" s="1"/>
  <c r="L98" i="118" s="1"/>
  <c r="H10" i="112"/>
  <c r="I10" i="112" s="1"/>
  <c r="I11" i="112" s="1"/>
  <c r="I17" i="112" s="1"/>
  <c r="I18" i="112" s="1"/>
  <c r="H367" i="102"/>
  <c r="I367" i="102" s="1"/>
  <c r="I370" i="102" s="1"/>
  <c r="I384" i="102" s="1"/>
  <c r="I385" i="102" s="1"/>
  <c r="I386" i="102" s="1"/>
  <c r="J361" i="102" s="1"/>
  <c r="D27" i="86" s="1"/>
  <c r="H10" i="102"/>
  <c r="I10" i="102" s="1"/>
  <c r="I13" i="102" s="1"/>
  <c r="I21" i="102" s="1"/>
  <c r="I22" i="102" s="1"/>
  <c r="I23" i="102" s="1"/>
  <c r="J6" i="102" s="1"/>
  <c r="D8" i="86" s="1"/>
  <c r="H340" i="102"/>
  <c r="I340" i="102" s="1"/>
  <c r="I343" i="102" s="1"/>
  <c r="I357" i="102" s="1"/>
  <c r="I358" i="102" s="1"/>
  <c r="I359" i="102" s="1"/>
  <c r="J334" i="102" s="1"/>
  <c r="H239" i="102"/>
  <c r="I239" i="102" s="1"/>
  <c r="I242" i="102" s="1"/>
  <c r="I250" i="102" s="1"/>
  <c r="I251" i="102" s="1"/>
  <c r="I252" i="102" s="1"/>
  <c r="I253" i="102" s="1"/>
  <c r="J235" i="102" s="1"/>
  <c r="D23" i="86" s="1"/>
  <c r="H259" i="102"/>
  <c r="I259" i="102" s="1"/>
  <c r="I262" i="102" s="1"/>
  <c r="I270" i="102" s="1"/>
  <c r="I271" i="102" s="1"/>
  <c r="I272" i="102" s="1"/>
  <c r="I273" i="102" s="1"/>
  <c r="J255" i="102" s="1"/>
  <c r="D25" i="86" s="1"/>
  <c r="H64" i="112"/>
  <c r="I64" i="112" s="1"/>
  <c r="I67" i="112" s="1"/>
  <c r="I75" i="112" s="1"/>
  <c r="I76" i="112" s="1"/>
  <c r="I77" i="112" s="1"/>
  <c r="J60" i="112" s="1"/>
  <c r="H103" i="112"/>
  <c r="I103" i="112" s="1"/>
  <c r="I106" i="112" s="1"/>
  <c r="I114" i="112" s="1"/>
  <c r="I115" i="112" s="1"/>
  <c r="I116" i="112" s="1"/>
  <c r="J99" i="112" s="1"/>
  <c r="H297" i="102"/>
  <c r="I297" i="102" s="1"/>
  <c r="I300" i="102" s="1"/>
  <c r="I308" i="102" s="1"/>
  <c r="I309" i="102" s="1"/>
  <c r="I310" i="102" s="1"/>
  <c r="J293" i="102" s="1"/>
  <c r="D26" i="86" s="1"/>
  <c r="E15" i="103"/>
  <c r="H83" i="112"/>
  <c r="I83" i="112" s="1"/>
  <c r="I86" i="112" s="1"/>
  <c r="I94" i="112" s="1"/>
  <c r="I95" i="112" s="1"/>
  <c r="I96" i="112" s="1"/>
  <c r="J79" i="112" s="1"/>
  <c r="H45" i="112"/>
  <c r="I45" i="112" s="1"/>
  <c r="I48" i="112" s="1"/>
  <c r="I56" i="112" s="1"/>
  <c r="I57" i="112" s="1"/>
  <c r="I58" i="112" s="1"/>
  <c r="J41" i="112" s="1"/>
  <c r="H1744" i="102"/>
  <c r="I1744" i="102" s="1"/>
  <c r="I1745" i="102" s="1"/>
  <c r="I1751" i="102" s="1"/>
  <c r="H26" i="112"/>
  <c r="I26" i="112" s="1"/>
  <c r="I29" i="112" s="1"/>
  <c r="I37" i="112" s="1"/>
  <c r="I38" i="112" s="1"/>
  <c r="I39" i="112" s="1"/>
  <c r="J22" i="112" s="1"/>
  <c r="H42" i="48"/>
  <c r="H44" i="118" s="1"/>
  <c r="N26" i="48"/>
  <c r="H43" i="109"/>
  <c r="P43" i="109" s="1"/>
  <c r="R43" i="109" s="1"/>
  <c r="H33" i="48" s="1"/>
  <c r="H35" i="118" s="1"/>
  <c r="R30" i="109"/>
  <c r="I33" i="102"/>
  <c r="I38" i="102" s="1"/>
  <c r="I39" i="102" s="1"/>
  <c r="I40" i="102" s="1"/>
  <c r="J24" i="102" s="1"/>
  <c r="D74" i="86" s="1"/>
  <c r="I1370" i="102"/>
  <c r="I1371" i="102" s="1"/>
  <c r="I1372" i="102" s="1"/>
  <c r="J1351" i="102" s="1"/>
  <c r="I1040" i="102"/>
  <c r="I1041" i="102" s="1"/>
  <c r="I1042" i="102" s="1"/>
  <c r="J1024" i="102" s="1"/>
  <c r="D64" i="86" s="1"/>
  <c r="I1476" i="102"/>
  <c r="I1477" i="102" s="1"/>
  <c r="I1478" i="102" s="1"/>
  <c r="J1460" i="102" s="1"/>
  <c r="D91" i="86" s="1"/>
  <c r="I1391" i="102"/>
  <c r="I1392" i="102" s="1"/>
  <c r="I1393" i="102" s="1"/>
  <c r="J1375" i="102" s="1"/>
  <c r="D87" i="86" s="1"/>
  <c r="L557" i="118" s="1"/>
  <c r="M557" i="118" s="1"/>
  <c r="P557" i="118" s="1"/>
  <c r="Q557" i="118" s="1"/>
  <c r="I732" i="102"/>
  <c r="I733" i="102" s="1"/>
  <c r="I734" i="102" s="1"/>
  <c r="J716" i="102" s="1"/>
  <c r="D48" i="86" s="1"/>
  <c r="K60" i="118"/>
  <c r="K41" i="118"/>
  <c r="K489" i="118"/>
  <c r="I938" i="102"/>
  <c r="I939" i="102" s="1"/>
  <c r="I57" i="102"/>
  <c r="J44" i="102" s="1"/>
  <c r="D11" i="86" s="1"/>
  <c r="K508" i="118"/>
  <c r="K284" i="118"/>
  <c r="K565" i="48"/>
  <c r="K217" i="48"/>
  <c r="I1594" i="102"/>
  <c r="I1595" i="102" s="1"/>
  <c r="I1596" i="102" s="1"/>
  <c r="J1578" i="102" s="1"/>
  <c r="D97" i="86" s="1"/>
  <c r="L428" i="48" s="1"/>
  <c r="K524" i="118"/>
  <c r="K319" i="118"/>
  <c r="K435" i="118"/>
  <c r="I1695" i="102"/>
  <c r="I1696" i="102" s="1"/>
  <c r="I1697" i="102" s="1"/>
  <c r="J1679" i="102" s="1"/>
  <c r="D104" i="86" s="1"/>
  <c r="L328" i="48" s="1"/>
  <c r="M328" i="48" s="1"/>
  <c r="K96" i="48"/>
  <c r="K192" i="118"/>
  <c r="K522" i="48"/>
  <c r="K52" i="118"/>
  <c r="K487" i="48"/>
  <c r="K133" i="48"/>
  <c r="I1284" i="102"/>
  <c r="I1285" i="102" s="1"/>
  <c r="I1286" i="102" s="1"/>
  <c r="J1266" i="102" s="1"/>
  <c r="D124" i="86" s="1"/>
  <c r="K36" i="118"/>
  <c r="K567" i="118"/>
  <c r="K282" i="48"/>
  <c r="K161" i="118"/>
  <c r="I776" i="102"/>
  <c r="I777" i="102" s="1"/>
  <c r="I778" i="102" s="1"/>
  <c r="J759" i="102" s="1"/>
  <c r="D52" i="86" s="1"/>
  <c r="I980" i="102"/>
  <c r="I981" i="102" s="1"/>
  <c r="I982" i="102" s="1"/>
  <c r="J964" i="102" s="1"/>
  <c r="D61" i="86" s="1"/>
  <c r="L498" i="118" s="1"/>
  <c r="M498" i="118" s="1"/>
  <c r="P498" i="118" s="1"/>
  <c r="Q498" i="118" s="1"/>
  <c r="I1574" i="102"/>
  <c r="I1575" i="102" s="1"/>
  <c r="I1576" i="102" s="1"/>
  <c r="J1558" i="102" s="1"/>
  <c r="D96" i="86" s="1"/>
  <c r="I1305" i="102"/>
  <c r="I1306" i="102" s="1"/>
  <c r="I231" i="102"/>
  <c r="I232" i="102" s="1"/>
  <c r="I958" i="102"/>
  <c r="I959" i="102" s="1"/>
  <c r="I960" i="102" s="1"/>
  <c r="J942" i="102" s="1"/>
  <c r="I755" i="102"/>
  <c r="I756" i="102" s="1"/>
  <c r="I757" i="102" s="1"/>
  <c r="J738" i="102" s="1"/>
  <c r="D51" i="86" s="1"/>
  <c r="L409" i="48" s="1"/>
  <c r="I1832" i="102"/>
  <c r="I1833" i="102" s="1"/>
  <c r="I1834" i="102" s="1"/>
  <c r="J1816" i="102" s="1"/>
  <c r="D134" i="86" s="1"/>
  <c r="L59" i="48" s="1"/>
  <c r="K50" i="48"/>
  <c r="K58" i="48"/>
  <c r="K291" i="48"/>
  <c r="K363" i="118"/>
  <c r="I500" i="102"/>
  <c r="I501" i="102" s="1"/>
  <c r="K34" i="48"/>
  <c r="K566" i="118"/>
  <c r="K353" i="118"/>
  <c r="K318" i="118"/>
  <c r="K160" i="118"/>
  <c r="K105" i="48"/>
  <c r="K107" i="48"/>
  <c r="K435" i="48"/>
  <c r="K134" i="118"/>
  <c r="K412" i="118"/>
  <c r="K437" i="118"/>
  <c r="K566" i="48"/>
  <c r="K545" i="118"/>
  <c r="K326" i="48"/>
  <c r="K317" i="48"/>
  <c r="K255" i="48"/>
  <c r="K490" i="118"/>
  <c r="K488" i="48"/>
  <c r="K190" i="48"/>
  <c r="K361" i="48"/>
  <c r="K352" i="48"/>
  <c r="K328" i="118"/>
  <c r="K507" i="48"/>
  <c r="K354" i="118"/>
  <c r="K506" i="48"/>
  <c r="K159" i="48"/>
  <c r="K433" i="48"/>
  <c r="K246" i="48"/>
  <c r="I1326" i="102"/>
  <c r="K135" i="118"/>
  <c r="K248" i="118"/>
  <c r="K293" i="118"/>
  <c r="K410" i="48"/>
  <c r="H32" i="48"/>
  <c r="H34" i="118" s="1"/>
  <c r="H64" i="48"/>
  <c r="H66" i="118" s="1"/>
  <c r="I168" i="102"/>
  <c r="I169" i="102" s="1"/>
  <c r="I170" i="102" s="1"/>
  <c r="J151" i="102" s="1"/>
  <c r="D19" i="86" s="1"/>
  <c r="I1554" i="102"/>
  <c r="I1555" i="102" s="1"/>
  <c r="I1556" i="102" s="1"/>
  <c r="J1538" i="102" s="1"/>
  <c r="D95" i="86" s="1"/>
  <c r="L560" i="48" s="1"/>
  <c r="M560" i="48" s="1"/>
  <c r="I189" i="102"/>
  <c r="I190" i="102" s="1"/>
  <c r="I191" i="102" s="1"/>
  <c r="J172" i="102" s="1"/>
  <c r="D20" i="86" s="1"/>
  <c r="I1020" i="102"/>
  <c r="I1021" i="102" s="1"/>
  <c r="I1022" i="102" s="1"/>
  <c r="J1004" i="102" s="1"/>
  <c r="D63" i="86" s="1"/>
  <c r="I1240" i="102"/>
  <c r="I1241" i="102" s="1"/>
  <c r="I1242" i="102" s="1"/>
  <c r="J1222" i="102" s="1"/>
  <c r="I1812" i="102"/>
  <c r="I1813" i="102" s="1"/>
  <c r="I1814" i="102" s="1"/>
  <c r="J1796" i="102" s="1"/>
  <c r="D133" i="86" s="1"/>
  <c r="L51" i="48" s="1"/>
  <c r="I330" i="102"/>
  <c r="I331" i="102" s="1"/>
  <c r="I332" i="102" s="1"/>
  <c r="J312" i="102" s="1"/>
  <c r="I147" i="102"/>
  <c r="I148" i="102" s="1"/>
  <c r="I149" i="102" s="1"/>
  <c r="J129" i="102" s="1"/>
  <c r="H1860" i="102" s="1"/>
  <c r="I1860" i="102" s="1"/>
  <c r="I1655" i="102"/>
  <c r="I1656" i="102" s="1"/>
  <c r="I1657" i="102" s="1"/>
  <c r="J1639" i="102" s="1"/>
  <c r="D102" i="86" s="1"/>
  <c r="L326" i="48" s="1"/>
  <c r="M326" i="48" s="1"/>
  <c r="I1675" i="102"/>
  <c r="I1676" i="102" s="1"/>
  <c r="I1677" i="102" s="1"/>
  <c r="J1659" i="102" s="1"/>
  <c r="D103" i="86" s="1"/>
  <c r="L572" i="118" s="1"/>
  <c r="M572" i="118" s="1"/>
  <c r="I1262" i="102"/>
  <c r="I1263" i="102" s="1"/>
  <c r="I1264" i="102" s="1"/>
  <c r="J1244" i="102" s="1"/>
  <c r="I73" i="102"/>
  <c r="J59" i="102" s="1"/>
  <c r="D12" i="86" s="1"/>
  <c r="I125" i="102"/>
  <c r="I126" i="102" s="1"/>
  <c r="I210" i="102"/>
  <c r="I211" i="102" s="1"/>
  <c r="I212" i="102" s="1"/>
  <c r="J193" i="102" s="1"/>
  <c r="D21" i="86" s="1"/>
  <c r="I459" i="102"/>
  <c r="I460" i="102" s="1"/>
  <c r="I461" i="102" s="1"/>
  <c r="J443" i="102" s="1"/>
  <c r="I439" i="102"/>
  <c r="I440" i="102" s="1"/>
  <c r="I441" i="102" s="1"/>
  <c r="J422" i="102" s="1"/>
  <c r="I520" i="102"/>
  <c r="I521" i="102" s="1"/>
  <c r="I837" i="102"/>
  <c r="I838" i="102" s="1"/>
  <c r="I839" i="102" s="1"/>
  <c r="J822" i="102" s="1"/>
  <c r="D55" i="86" s="1"/>
  <c r="I918" i="102"/>
  <c r="I919" i="102" s="1"/>
  <c r="I920" i="102" s="1"/>
  <c r="J900" i="102" s="1"/>
  <c r="I478" i="102"/>
  <c r="I479" i="102" s="1"/>
  <c r="J463" i="102" s="1"/>
  <c r="D33" i="86" s="1"/>
  <c r="I1772" i="102"/>
  <c r="I1773" i="102" s="1"/>
  <c r="I1774" i="102" s="1"/>
  <c r="J1756" i="102" s="1"/>
  <c r="D131" i="86" s="1"/>
  <c r="L68" i="118" s="1"/>
  <c r="M68" i="118" s="1"/>
  <c r="P68" i="118" s="1"/>
  <c r="Q68" i="118" s="1"/>
  <c r="I541" i="102"/>
  <c r="I542" i="102" s="1"/>
  <c r="I543" i="102" s="1"/>
  <c r="J524" i="102" s="1"/>
  <c r="D38" i="86" s="1"/>
  <c r="I1787" i="102"/>
  <c r="I1792" i="102" s="1"/>
  <c r="I1793" i="102" s="1"/>
  <c r="I1794" i="102" s="1"/>
  <c r="J1776" i="102" s="1"/>
  <c r="D132" i="86" s="1"/>
  <c r="I1752" i="102"/>
  <c r="I1753" i="102" s="1"/>
  <c r="J1740" i="102" s="1"/>
  <c r="I1434" i="102"/>
  <c r="I1435" i="102" s="1"/>
  <c r="I1436" i="102" s="1"/>
  <c r="J1416" i="102" s="1"/>
  <c r="D89" i="86" s="1"/>
  <c r="L425" i="118" s="1"/>
  <c r="M425" i="118" s="1"/>
  <c r="H1859" i="102"/>
  <c r="I1859" i="102" s="1"/>
  <c r="D14" i="86"/>
  <c r="L73" i="118" s="1"/>
  <c r="M73" i="118" s="1"/>
  <c r="P73" i="118" s="1"/>
  <c r="Q73" i="118" s="1"/>
  <c r="I1852" i="102"/>
  <c r="I1853" i="102" s="1"/>
  <c r="I1854" i="102" s="1"/>
  <c r="J1836" i="102" s="1"/>
  <c r="D135" i="86" s="1"/>
  <c r="D142" i="86" s="1"/>
  <c r="I1635" i="102"/>
  <c r="I1636" i="102" s="1"/>
  <c r="I1637" i="102" s="1"/>
  <c r="J1619" i="102" s="1"/>
  <c r="D101" i="86" s="1"/>
  <c r="L195" i="118" s="1"/>
  <c r="M195" i="118" s="1"/>
  <c r="P195" i="118" s="1"/>
  <c r="Q195" i="118" s="1"/>
  <c r="I1456" i="102"/>
  <c r="I1457" i="102" s="1"/>
  <c r="I1458" i="102" s="1"/>
  <c r="J1438" i="102" s="1"/>
  <c r="D90" i="86" s="1"/>
  <c r="L424" i="48" s="1"/>
  <c r="I856" i="102"/>
  <c r="I857" i="102" s="1"/>
  <c r="I858" i="102" s="1"/>
  <c r="J841" i="102" s="1"/>
  <c r="D56" i="86" s="1"/>
  <c r="I1000" i="102"/>
  <c r="I1001" i="102" s="1"/>
  <c r="I1002" i="102" s="1"/>
  <c r="J984" i="102" s="1"/>
  <c r="D62" i="86" s="1"/>
  <c r="L258" i="48"/>
  <c r="L571" i="48"/>
  <c r="M571" i="48" s="1"/>
  <c r="L366" i="118"/>
  <c r="M366" i="118" s="1"/>
  <c r="L296" i="118"/>
  <c r="M296" i="118" s="1"/>
  <c r="P296" i="118" s="1"/>
  <c r="Q296" i="118" s="1"/>
  <c r="L442" i="118"/>
  <c r="M442" i="118" s="1"/>
  <c r="L573" i="118"/>
  <c r="M573" i="118" s="1"/>
  <c r="I1412" i="102"/>
  <c r="I1413" i="102" s="1"/>
  <c r="I1414" i="102" s="1"/>
  <c r="J1395" i="102" s="1"/>
  <c r="D88" i="86" s="1"/>
  <c r="I1735" i="102"/>
  <c r="I1736" i="102" s="1"/>
  <c r="I1737" i="102" s="1"/>
  <c r="J1719" i="102" s="1"/>
  <c r="D106" i="86" s="1"/>
  <c r="I797" i="102"/>
  <c r="I798" i="102" s="1"/>
  <c r="I799" i="102" s="1"/>
  <c r="J780" i="102" s="1"/>
  <c r="D53" i="86" s="1"/>
  <c r="I819" i="102"/>
  <c r="I820" i="102" s="1"/>
  <c r="J801" i="102" s="1"/>
  <c r="D54" i="86" s="1"/>
  <c r="L30" i="48"/>
  <c r="L32" i="118"/>
  <c r="M32" i="118" s="1"/>
  <c r="I895" i="102"/>
  <c r="I896" i="102" s="1"/>
  <c r="J879" i="102" s="1"/>
  <c r="D58" i="86" s="1"/>
  <c r="I618" i="102"/>
  <c r="I619" i="102" s="1"/>
  <c r="J602" i="102" s="1"/>
  <c r="D42" i="86" s="1"/>
  <c r="L359" i="118"/>
  <c r="M359" i="118" s="1"/>
  <c r="P359" i="118" s="1"/>
  <c r="Q359" i="118" s="1"/>
  <c r="L166" i="118"/>
  <c r="M166" i="118" s="1"/>
  <c r="P166" i="118" s="1"/>
  <c r="Q166" i="118" s="1"/>
  <c r="L197" i="118"/>
  <c r="M197" i="118" s="1"/>
  <c r="P197" i="118" s="1"/>
  <c r="Q197" i="118" s="1"/>
  <c r="L224" i="118"/>
  <c r="M224" i="118" s="1"/>
  <c r="P224" i="118" s="1"/>
  <c r="Q224" i="118" s="1"/>
  <c r="L560" i="118"/>
  <c r="M560" i="118" s="1"/>
  <c r="P560" i="118" s="1"/>
  <c r="Q560" i="118" s="1"/>
  <c r="L324" i="118"/>
  <c r="M324" i="118" s="1"/>
  <c r="P324" i="118" s="1"/>
  <c r="Q324" i="118" s="1"/>
  <c r="L427" i="118"/>
  <c r="M427" i="118" s="1"/>
  <c r="P427" i="118" s="1"/>
  <c r="Q427" i="118" s="1"/>
  <c r="L253" i="118"/>
  <c r="M253" i="118" s="1"/>
  <c r="P253" i="118" s="1"/>
  <c r="Q253" i="118" s="1"/>
  <c r="L289" i="118"/>
  <c r="M289" i="118" s="1"/>
  <c r="P289" i="118" s="1"/>
  <c r="Q289" i="118" s="1"/>
  <c r="L195" i="48"/>
  <c r="M195" i="48" s="1"/>
  <c r="L140" i="118"/>
  <c r="M140" i="118" s="1"/>
  <c r="P140" i="118" s="1"/>
  <c r="Q140" i="118" s="1"/>
  <c r="L425" i="48"/>
  <c r="M425" i="48" s="1"/>
  <c r="L357" i="48"/>
  <c r="M357" i="48" s="1"/>
  <c r="L558" i="48"/>
  <c r="M558" i="48" s="1"/>
  <c r="L251" i="48"/>
  <c r="M251" i="48" s="1"/>
  <c r="L138" i="48"/>
  <c r="L322" i="48"/>
  <c r="M322" i="48" s="1"/>
  <c r="L287" i="48"/>
  <c r="M287" i="48" s="1"/>
  <c r="L164" i="48"/>
  <c r="M164" i="48" s="1"/>
  <c r="L222" i="48"/>
  <c r="M222" i="48" s="1"/>
  <c r="I580" i="102"/>
  <c r="I581" i="102" s="1"/>
  <c r="J564" i="102" s="1"/>
  <c r="D40" i="86" s="1"/>
  <c r="I675" i="102"/>
  <c r="I676" i="102" s="1"/>
  <c r="J659" i="102" s="1"/>
  <c r="D45" i="86" s="1"/>
  <c r="L559" i="48"/>
  <c r="M559" i="48" s="1"/>
  <c r="L428" i="118"/>
  <c r="M428" i="118" s="1"/>
  <c r="P428" i="118" s="1"/>
  <c r="Q428" i="118" s="1"/>
  <c r="L561" i="118"/>
  <c r="M561" i="118" s="1"/>
  <c r="P561" i="118" s="1"/>
  <c r="Q561" i="118" s="1"/>
  <c r="L426" i="48"/>
  <c r="L286" i="48"/>
  <c r="M286" i="48" s="1"/>
  <c r="L250" i="48"/>
  <c r="L288" i="118"/>
  <c r="M288" i="118" s="1"/>
  <c r="P288" i="118" s="1"/>
  <c r="Q288" i="118" s="1"/>
  <c r="L321" i="48"/>
  <c r="M321" i="48" s="1"/>
  <c r="L358" i="118"/>
  <c r="M358" i="118" s="1"/>
  <c r="L323" i="118"/>
  <c r="M323" i="118" s="1"/>
  <c r="L252" i="118"/>
  <c r="M252" i="118" s="1"/>
  <c r="P252" i="118" s="1"/>
  <c r="Q252" i="118" s="1"/>
  <c r="L356" i="48"/>
  <c r="M356" i="48" s="1"/>
  <c r="K574" i="118"/>
  <c r="K443" i="118"/>
  <c r="K332" i="118"/>
  <c r="K367" i="118"/>
  <c r="K441" i="48"/>
  <c r="K365" i="48"/>
  <c r="K330" i="48"/>
  <c r="K295" i="48"/>
  <c r="K261" i="118"/>
  <c r="K297" i="118"/>
  <c r="K572" i="48"/>
  <c r="K259" i="48"/>
  <c r="K315" i="118"/>
  <c r="K280" i="118"/>
  <c r="K244" i="118"/>
  <c r="K350" i="118"/>
  <c r="K278" i="48"/>
  <c r="K348" i="48"/>
  <c r="K313" i="48"/>
  <c r="K242" i="48"/>
  <c r="K100" i="48"/>
  <c r="K43" i="118"/>
  <c r="K409" i="118"/>
  <c r="K542" i="118"/>
  <c r="K102" i="118"/>
  <c r="K41" i="48"/>
  <c r="K540" i="48"/>
  <c r="K407" i="48"/>
  <c r="K294" i="118"/>
  <c r="K441" i="118"/>
  <c r="K329" i="118"/>
  <c r="K572" i="118"/>
  <c r="K364" i="118"/>
  <c r="K258" i="118"/>
  <c r="K439" i="48"/>
  <c r="K362" i="48"/>
  <c r="K292" i="48"/>
  <c r="K327" i="48"/>
  <c r="K256" i="48"/>
  <c r="K570" i="48"/>
  <c r="I1347" i="102"/>
  <c r="K404" i="118"/>
  <c r="K537" i="118"/>
  <c r="K535" i="48"/>
  <c r="K402" i="48"/>
  <c r="K94" i="48"/>
  <c r="K561" i="118"/>
  <c r="K428" i="118"/>
  <c r="K559" i="48"/>
  <c r="K426" i="48"/>
  <c r="K35" i="118"/>
  <c r="K33" i="48"/>
  <c r="K108" i="118"/>
  <c r="K106" i="48"/>
  <c r="K534" i="118"/>
  <c r="K401" i="118"/>
  <c r="K42" i="118"/>
  <c r="K93" i="118"/>
  <c r="K399" i="48"/>
  <c r="K532" i="48"/>
  <c r="K91" i="48"/>
  <c r="K40" i="48"/>
  <c r="K389" i="118"/>
  <c r="K387" i="48"/>
  <c r="K313" i="118"/>
  <c r="K348" i="118"/>
  <c r="K156" i="118"/>
  <c r="K278" i="118"/>
  <c r="K242" i="118"/>
  <c r="K214" i="118"/>
  <c r="K212" i="48"/>
  <c r="K240" i="48"/>
  <c r="K586" i="118"/>
  <c r="K182" i="118"/>
  <c r="K130" i="118"/>
  <c r="K346" i="48"/>
  <c r="K311" i="48"/>
  <c r="K154" i="48"/>
  <c r="K128" i="48"/>
  <c r="K180" i="48"/>
  <c r="K276" i="48"/>
  <c r="K584" i="48"/>
  <c r="I656" i="102"/>
  <c r="I657" i="102" s="1"/>
  <c r="J640" i="102" s="1"/>
  <c r="D44" i="86" s="1"/>
  <c r="K34" i="118"/>
  <c r="K32" i="48"/>
  <c r="K331" i="118"/>
  <c r="K366" i="118"/>
  <c r="K573" i="118"/>
  <c r="K258" i="48"/>
  <c r="K260" i="118"/>
  <c r="K296" i="118"/>
  <c r="K329" i="48"/>
  <c r="K442" i="118"/>
  <c r="K294" i="48"/>
  <c r="K571" i="48"/>
  <c r="K364" i="48"/>
  <c r="K440" i="48"/>
  <c r="K562" i="118"/>
  <c r="K429" i="118"/>
  <c r="K427" i="48"/>
  <c r="K560" i="48"/>
  <c r="I599" i="102"/>
  <c r="I600" i="102" s="1"/>
  <c r="J583" i="102" s="1"/>
  <c r="D41" i="86" s="1"/>
  <c r="K541" i="118"/>
  <c r="K406" i="48"/>
  <c r="K539" i="48"/>
  <c r="K408" i="118"/>
  <c r="K147" i="118"/>
  <c r="K268" i="118"/>
  <c r="K304" i="118"/>
  <c r="K231" i="118"/>
  <c r="K173" i="118"/>
  <c r="K204" i="118"/>
  <c r="K117" i="118"/>
  <c r="K394" i="118"/>
  <c r="K374" i="118"/>
  <c r="K119" i="118"/>
  <c r="K118" i="118"/>
  <c r="K339" i="118"/>
  <c r="K171" i="48"/>
  <c r="K392" i="48"/>
  <c r="K266" i="48"/>
  <c r="K116" i="48"/>
  <c r="K202" i="48"/>
  <c r="K302" i="48"/>
  <c r="K117" i="48"/>
  <c r="K145" i="48"/>
  <c r="K337" i="48"/>
  <c r="K372" i="48"/>
  <c r="K115" i="48"/>
  <c r="K229" i="48"/>
  <c r="K30" i="48"/>
  <c r="K32" i="118"/>
  <c r="I713" i="102"/>
  <c r="I714" i="102" s="1"/>
  <c r="J697" i="102" s="1"/>
  <c r="D47" i="86" s="1"/>
  <c r="L78" i="48"/>
  <c r="L80" i="118"/>
  <c r="M80" i="118" s="1"/>
  <c r="K195" i="118"/>
  <c r="K571" i="118"/>
  <c r="K440" i="118"/>
  <c r="K138" i="118"/>
  <c r="K256" i="118"/>
  <c r="K362" i="118"/>
  <c r="K292" i="118"/>
  <c r="K325" i="48"/>
  <c r="K164" i="118"/>
  <c r="K222" i="118"/>
  <c r="K290" i="48"/>
  <c r="K327" i="118"/>
  <c r="K569" i="48"/>
  <c r="K136" i="48"/>
  <c r="K254" i="48"/>
  <c r="K162" i="48"/>
  <c r="K438" i="48"/>
  <c r="K220" i="48"/>
  <c r="K360" i="48"/>
  <c r="K193" i="48"/>
  <c r="K554" i="118"/>
  <c r="K517" i="118"/>
  <c r="K499" i="118"/>
  <c r="K421" i="118"/>
  <c r="K515" i="48"/>
  <c r="K465" i="118"/>
  <c r="K497" i="48"/>
  <c r="K419" i="48"/>
  <c r="K552" i="48"/>
  <c r="K463" i="48"/>
  <c r="K430" i="118"/>
  <c r="K428" i="48"/>
  <c r="K251" i="118"/>
  <c r="K287" i="118"/>
  <c r="K563" i="118"/>
  <c r="K357" i="118"/>
  <c r="K355" i="48"/>
  <c r="K223" i="118"/>
  <c r="K165" i="118"/>
  <c r="K137" i="48"/>
  <c r="K196" i="118"/>
  <c r="K322" i="118"/>
  <c r="K431" i="118"/>
  <c r="K285" i="48"/>
  <c r="K139" i="118"/>
  <c r="K429" i="48"/>
  <c r="K320" i="48"/>
  <c r="K561" i="48"/>
  <c r="K194" i="48"/>
  <c r="K163" i="48"/>
  <c r="K221" i="48"/>
  <c r="K249" i="48"/>
  <c r="K425" i="118"/>
  <c r="K423" i="48"/>
  <c r="K558" i="118"/>
  <c r="K556" i="48"/>
  <c r="K330" i="118"/>
  <c r="K365" i="118"/>
  <c r="K259" i="118"/>
  <c r="K295" i="118"/>
  <c r="K363" i="48"/>
  <c r="K293" i="48"/>
  <c r="K328" i="48"/>
  <c r="K257" i="48"/>
  <c r="K535" i="118"/>
  <c r="K536" i="118"/>
  <c r="K403" i="118"/>
  <c r="K402" i="118"/>
  <c r="K400" i="48"/>
  <c r="K534" i="48"/>
  <c r="K533" i="48"/>
  <c r="K95" i="118"/>
  <c r="K94" i="118"/>
  <c r="K401" i="48"/>
  <c r="K93" i="48"/>
  <c r="K92" i="48"/>
  <c r="K252" i="118"/>
  <c r="K358" i="118"/>
  <c r="K321" i="48"/>
  <c r="K323" i="118"/>
  <c r="K356" i="48"/>
  <c r="K250" i="48"/>
  <c r="K288" i="118"/>
  <c r="K286" i="48"/>
  <c r="K493" i="118"/>
  <c r="K264" i="118"/>
  <c r="K525" i="118"/>
  <c r="K300" i="118"/>
  <c r="K167" i="48"/>
  <c r="K227" i="118"/>
  <c r="K512" i="118"/>
  <c r="K386" i="48"/>
  <c r="K200" i="118"/>
  <c r="K169" i="118"/>
  <c r="K523" i="48"/>
  <c r="K298" i="48"/>
  <c r="K143" i="118"/>
  <c r="K335" i="118"/>
  <c r="K491" i="48"/>
  <c r="K388" i="118"/>
  <c r="K510" i="48"/>
  <c r="K198" i="48"/>
  <c r="K370" i="118"/>
  <c r="K333" i="48"/>
  <c r="K225" i="48"/>
  <c r="K262" i="48"/>
  <c r="K141" i="48"/>
  <c r="K368" i="48"/>
  <c r="K553" i="118"/>
  <c r="K516" i="118"/>
  <c r="K498" i="118"/>
  <c r="K480" i="118"/>
  <c r="K420" i="118"/>
  <c r="K496" i="48"/>
  <c r="K464" i="118"/>
  <c r="K514" i="48"/>
  <c r="K551" i="48"/>
  <c r="K418" i="48"/>
  <c r="K462" i="48"/>
  <c r="K478" i="48"/>
  <c r="I1534" i="102"/>
  <c r="I1535" i="102" s="1"/>
  <c r="I1536" i="102" s="1"/>
  <c r="J1518" i="102" s="1"/>
  <c r="D94" i="86" s="1"/>
  <c r="K538" i="118"/>
  <c r="K405" i="118"/>
  <c r="K536" i="48"/>
  <c r="K403" i="48"/>
  <c r="K188" i="118"/>
  <c r="K186" i="48"/>
  <c r="I561" i="102"/>
  <c r="I562" i="102" s="1"/>
  <c r="J545" i="102" s="1"/>
  <c r="D39" i="86" s="1"/>
  <c r="K468" i="118"/>
  <c r="K205" i="118"/>
  <c r="K483" i="118"/>
  <c r="K447" i="118"/>
  <c r="K502" i="118"/>
  <c r="K44" i="118"/>
  <c r="K578" i="118"/>
  <c r="K267" i="48"/>
  <c r="K520" i="118"/>
  <c r="K526" i="118"/>
  <c r="K524" i="48"/>
  <c r="K269" i="118"/>
  <c r="K42" i="48"/>
  <c r="K203" i="48"/>
  <c r="K445" i="48"/>
  <c r="K481" i="48"/>
  <c r="K466" i="48"/>
  <c r="K500" i="48"/>
  <c r="K576" i="48"/>
  <c r="K518" i="48"/>
  <c r="K349" i="118"/>
  <c r="K279" i="118"/>
  <c r="K183" i="118"/>
  <c r="K131" i="118"/>
  <c r="K215" i="118"/>
  <c r="K157" i="118"/>
  <c r="K314" i="118"/>
  <c r="K312" i="48"/>
  <c r="K243" i="118"/>
  <c r="K213" i="48"/>
  <c r="K277" i="48"/>
  <c r="K181" i="48"/>
  <c r="K241" i="48"/>
  <c r="K347" i="48"/>
  <c r="K155" i="48"/>
  <c r="K129" i="48"/>
  <c r="K97" i="118"/>
  <c r="K95" i="48"/>
  <c r="K494" i="118"/>
  <c r="K589" i="118"/>
  <c r="K587" i="48"/>
  <c r="K390" i="118"/>
  <c r="K388" i="48"/>
  <c r="K492" i="48"/>
  <c r="K113" i="118"/>
  <c r="K111" i="48"/>
  <c r="K424" i="48"/>
  <c r="K426" i="118"/>
  <c r="K559" i="118"/>
  <c r="K557" i="48"/>
  <c r="K434" i="118"/>
  <c r="K488" i="118"/>
  <c r="K218" i="118"/>
  <c r="K191" i="118"/>
  <c r="K283" i="118"/>
  <c r="K247" i="118"/>
  <c r="K245" i="48"/>
  <c r="K189" i="48"/>
  <c r="K216" i="48"/>
  <c r="K316" i="48"/>
  <c r="K486" i="48"/>
  <c r="K505" i="48"/>
  <c r="K351" i="48"/>
  <c r="K564" i="48"/>
  <c r="K281" i="48"/>
  <c r="K132" i="48"/>
  <c r="K158" i="48"/>
  <c r="K432" i="48"/>
  <c r="K265" i="118"/>
  <c r="K170" i="118"/>
  <c r="K201" i="118"/>
  <c r="K336" i="118"/>
  <c r="K371" i="118"/>
  <c r="K299" i="48"/>
  <c r="K228" i="118"/>
  <c r="K144" i="118"/>
  <c r="K263" i="48"/>
  <c r="K301" i="118"/>
  <c r="K199" i="48"/>
  <c r="K168" i="48"/>
  <c r="K369" i="48"/>
  <c r="K226" i="48"/>
  <c r="K334" i="48"/>
  <c r="K142" i="48"/>
  <c r="K555" i="48"/>
  <c r="K557" i="118"/>
  <c r="K424" i="118"/>
  <c r="K422" i="48"/>
  <c r="K224" i="118"/>
  <c r="K357" i="48"/>
  <c r="K289" i="118"/>
  <c r="K427" i="118"/>
  <c r="K324" i="118"/>
  <c r="K253" i="118"/>
  <c r="K425" i="48"/>
  <c r="K197" i="118"/>
  <c r="K558" i="48"/>
  <c r="K560" i="118"/>
  <c r="K140" i="118"/>
  <c r="K195" i="48"/>
  <c r="K166" i="118"/>
  <c r="K322" i="48"/>
  <c r="K359" i="118"/>
  <c r="K287" i="48"/>
  <c r="K251" i="48"/>
  <c r="K138" i="48"/>
  <c r="K164" i="48"/>
  <c r="K222" i="48"/>
  <c r="K70" i="48"/>
  <c r="K58" i="118"/>
  <c r="K66" i="118"/>
  <c r="K56" i="48"/>
  <c r="K50" i="118"/>
  <c r="K40" i="118"/>
  <c r="K76" i="48"/>
  <c r="K78" i="118"/>
  <c r="K38" i="48"/>
  <c r="K64" i="48"/>
  <c r="K48" i="48"/>
  <c r="K101" i="48"/>
  <c r="K410" i="118"/>
  <c r="K543" i="118"/>
  <c r="K103" i="118"/>
  <c r="K408" i="48"/>
  <c r="K541" i="48"/>
  <c r="I1219" i="102"/>
  <c r="I1220" i="102" s="1"/>
  <c r="J1201" i="102" s="1"/>
  <c r="K71" i="48"/>
  <c r="K59" i="118"/>
  <c r="K51" i="118"/>
  <c r="K33" i="118"/>
  <c r="K49" i="48"/>
  <c r="K65" i="48"/>
  <c r="K67" i="118"/>
  <c r="K57" i="48"/>
  <c r="K31" i="48"/>
  <c r="L96" i="48" l="1"/>
  <c r="L294" i="48"/>
  <c r="M294" i="48" s="1"/>
  <c r="L440" i="48"/>
  <c r="M440" i="48" s="1"/>
  <c r="L260" i="118"/>
  <c r="M260" i="118" s="1"/>
  <c r="P260" i="118" s="1"/>
  <c r="Q260" i="118" s="1"/>
  <c r="L364" i="48"/>
  <c r="M364" i="48" s="1"/>
  <c r="L331" i="118"/>
  <c r="M331" i="118" s="1"/>
  <c r="P331" i="118" s="1"/>
  <c r="Q331" i="118" s="1"/>
  <c r="L76" i="48"/>
  <c r="M76" i="48" s="1"/>
  <c r="L72" i="118"/>
  <c r="M72" i="118" s="1"/>
  <c r="L363" i="48"/>
  <c r="M363" i="48" s="1"/>
  <c r="L72" i="48"/>
  <c r="M72" i="48" s="1"/>
  <c r="L74" i="118"/>
  <c r="M74" i="118" s="1"/>
  <c r="P74" i="118" s="1"/>
  <c r="Q74" i="118" s="1"/>
  <c r="L424" i="118"/>
  <c r="M424" i="118" s="1"/>
  <c r="P424" i="118" s="1"/>
  <c r="Q424" i="118" s="1"/>
  <c r="I19" i="112"/>
  <c r="J6" i="112" s="1"/>
  <c r="D15" i="86" s="1"/>
  <c r="H105" i="48"/>
  <c r="H107" i="118" s="1"/>
  <c r="H95" i="48"/>
  <c r="H97" i="118" s="1"/>
  <c r="H534" i="48"/>
  <c r="H536" i="118" s="1"/>
  <c r="H533" i="48"/>
  <c r="H535" i="118" s="1"/>
  <c r="H1136" i="102"/>
  <c r="I1136" i="102" s="1"/>
  <c r="I1139" i="102" s="1"/>
  <c r="I1149" i="102" s="1"/>
  <c r="I1150" i="102" s="1"/>
  <c r="I1151" i="102" s="1"/>
  <c r="J1132" i="102" s="1"/>
  <c r="D71" i="86" s="1"/>
  <c r="H1180" i="102"/>
  <c r="I1180" i="102" s="1"/>
  <c r="I1183" i="102" s="1"/>
  <c r="I1195" i="102" s="1"/>
  <c r="I1196" i="102" s="1"/>
  <c r="I1197" i="102" s="1"/>
  <c r="J1176" i="102" s="1"/>
  <c r="D73" i="86" s="1"/>
  <c r="L108" i="118" s="1"/>
  <c r="M108" i="118" s="1"/>
  <c r="P108" i="118" s="1"/>
  <c r="Q108" i="118" s="1"/>
  <c r="H1091" i="102"/>
  <c r="I1091" i="102" s="1"/>
  <c r="I1094" i="102" s="1"/>
  <c r="I1108" i="102" s="1"/>
  <c r="I1109" i="102" s="1"/>
  <c r="I1110" i="102" s="1"/>
  <c r="J1087" i="102" s="1"/>
  <c r="D69" i="86" s="1"/>
  <c r="H864" i="102"/>
  <c r="I864" i="102" s="1"/>
  <c r="I867" i="102" s="1"/>
  <c r="I875" i="102" s="1"/>
  <c r="I876" i="102" s="1"/>
  <c r="I877" i="102" s="1"/>
  <c r="J860" i="102" s="1"/>
  <c r="D57" i="86" s="1"/>
  <c r="H1071" i="102"/>
  <c r="I1071" i="102" s="1"/>
  <c r="I1074" i="102" s="1"/>
  <c r="I1083" i="102" s="1"/>
  <c r="I1084" i="102" s="1"/>
  <c r="I1085" i="102" s="1"/>
  <c r="J1067" i="102" s="1"/>
  <c r="D68" i="86" s="1"/>
  <c r="L119" i="118" s="1"/>
  <c r="M119" i="118" s="1"/>
  <c r="P119" i="118" s="1"/>
  <c r="Q119" i="118" s="1"/>
  <c r="H1116" i="102"/>
  <c r="I1116" i="102" s="1"/>
  <c r="I1119" i="102" s="1"/>
  <c r="I1128" i="102" s="1"/>
  <c r="I1129" i="102" s="1"/>
  <c r="I1130" i="102" s="1"/>
  <c r="J1112" i="102" s="1"/>
  <c r="D70" i="86" s="1"/>
  <c r="H1050" i="102"/>
  <c r="I1050" i="102" s="1"/>
  <c r="I1053" i="102" s="1"/>
  <c r="I1063" i="102" s="1"/>
  <c r="I1064" i="102" s="1"/>
  <c r="I1065" i="102" s="1"/>
  <c r="J1046" i="102" s="1"/>
  <c r="D67" i="86" s="1"/>
  <c r="L466" i="48" s="1"/>
  <c r="M466" i="48" s="1"/>
  <c r="H1157" i="102"/>
  <c r="I1157" i="102" s="1"/>
  <c r="I1160" i="102" s="1"/>
  <c r="I1172" i="102" s="1"/>
  <c r="I1173" i="102" s="1"/>
  <c r="I1174" i="102" s="1"/>
  <c r="J1153" i="102" s="1"/>
  <c r="D72" i="86" s="1"/>
  <c r="L109" i="118" s="1"/>
  <c r="M109" i="118" s="1"/>
  <c r="P109" i="118" s="1"/>
  <c r="Q109" i="118" s="1"/>
  <c r="H96" i="48"/>
  <c r="H98" i="118" s="1"/>
  <c r="M98" i="118" s="1"/>
  <c r="P98" i="118" s="1"/>
  <c r="Q98" i="118" s="1"/>
  <c r="H401" i="48"/>
  <c r="H403" i="118" s="1"/>
  <c r="H400" i="48"/>
  <c r="H402" i="118" s="1"/>
  <c r="H203" i="48"/>
  <c r="H205" i="118" s="1"/>
  <c r="H29" i="48"/>
  <c r="L422" i="48"/>
  <c r="M422" i="48" s="1"/>
  <c r="L38" i="48"/>
  <c r="M38" i="48" s="1"/>
  <c r="L555" i="48"/>
  <c r="M555" i="48" s="1"/>
  <c r="L40" i="118"/>
  <c r="M40" i="118" s="1"/>
  <c r="P40" i="118" s="1"/>
  <c r="L66" i="118"/>
  <c r="M66" i="118" s="1"/>
  <c r="P66" i="118" s="1"/>
  <c r="Q66" i="118" s="1"/>
  <c r="L50" i="118"/>
  <c r="M50" i="118" s="1"/>
  <c r="P50" i="118" s="1"/>
  <c r="L48" i="48"/>
  <c r="M48" i="48" s="1"/>
  <c r="L78" i="118"/>
  <c r="M78" i="118" s="1"/>
  <c r="P78" i="118" s="1"/>
  <c r="Q78" i="118" s="1"/>
  <c r="L64" i="48"/>
  <c r="M64" i="48" s="1"/>
  <c r="L70" i="48"/>
  <c r="M70" i="48" s="1"/>
  <c r="L56" i="48"/>
  <c r="M56" i="48" s="1"/>
  <c r="L58" i="118"/>
  <c r="M58" i="118" s="1"/>
  <c r="P58" i="118" s="1"/>
  <c r="I502" i="102"/>
  <c r="J483" i="102" s="1"/>
  <c r="D36" i="86" s="1"/>
  <c r="L430" i="118"/>
  <c r="M430" i="118" s="1"/>
  <c r="P430" i="118" s="1"/>
  <c r="Q430" i="118" s="1"/>
  <c r="L514" i="48"/>
  <c r="M514" i="48" s="1"/>
  <c r="L418" i="48"/>
  <c r="E61" i="86" s="1"/>
  <c r="L592" i="48"/>
  <c r="M592" i="48" s="1"/>
  <c r="M605" i="48" s="1"/>
  <c r="N605" i="48" s="1"/>
  <c r="L411" i="118"/>
  <c r="M411" i="118" s="1"/>
  <c r="P411" i="118" s="1"/>
  <c r="Q411" i="118" s="1"/>
  <c r="I940" i="102"/>
  <c r="J922" i="102" s="1"/>
  <c r="L594" i="118"/>
  <c r="M594" i="118" s="1"/>
  <c r="P594" i="118" s="1"/>
  <c r="P607" i="118" s="1"/>
  <c r="L516" i="118"/>
  <c r="M516" i="118" s="1"/>
  <c r="P516" i="118" s="1"/>
  <c r="Q516" i="118" s="1"/>
  <c r="L544" i="118"/>
  <c r="M544" i="118" s="1"/>
  <c r="P544" i="118" s="1"/>
  <c r="Q544" i="118" s="1"/>
  <c r="L542" i="48"/>
  <c r="M542" i="48" s="1"/>
  <c r="L553" i="118"/>
  <c r="M553" i="118" s="1"/>
  <c r="P553" i="118" s="1"/>
  <c r="Q553" i="118" s="1"/>
  <c r="L496" i="48"/>
  <c r="M496" i="48" s="1"/>
  <c r="L257" i="48"/>
  <c r="E104" i="86" s="1"/>
  <c r="L295" i="118"/>
  <c r="M295" i="118" s="1"/>
  <c r="P295" i="118" s="1"/>
  <c r="Q295" i="118" s="1"/>
  <c r="L478" i="48"/>
  <c r="M478" i="48" s="1"/>
  <c r="L464" i="118"/>
  <c r="M464" i="118" s="1"/>
  <c r="P464" i="118" s="1"/>
  <c r="Q464" i="118" s="1"/>
  <c r="L293" i="48"/>
  <c r="M293" i="48" s="1"/>
  <c r="L551" i="48"/>
  <c r="M551" i="48" s="1"/>
  <c r="I233" i="102"/>
  <c r="J214" i="102" s="1"/>
  <c r="H1861" i="102" s="1"/>
  <c r="I1861" i="102" s="1"/>
  <c r="L259" i="118"/>
  <c r="M259" i="118" s="1"/>
  <c r="P259" i="118" s="1"/>
  <c r="Q259" i="118" s="1"/>
  <c r="L365" i="118"/>
  <c r="M365" i="118" s="1"/>
  <c r="P365" i="118" s="1"/>
  <c r="Q365" i="118" s="1"/>
  <c r="L462" i="48"/>
  <c r="M462" i="48" s="1"/>
  <c r="L330" i="118"/>
  <c r="M330" i="118" s="1"/>
  <c r="P330" i="118" s="1"/>
  <c r="Q330" i="118" s="1"/>
  <c r="L480" i="118"/>
  <c r="M480" i="118" s="1"/>
  <c r="P480" i="118" s="1"/>
  <c r="L420" i="118"/>
  <c r="M420" i="118" s="1"/>
  <c r="P420" i="118" s="1"/>
  <c r="L255" i="48"/>
  <c r="M255" i="48" s="1"/>
  <c r="D80" i="86"/>
  <c r="L437" i="118" s="1"/>
  <c r="M437" i="118" s="1"/>
  <c r="P437" i="118" s="1"/>
  <c r="Q437" i="118" s="1"/>
  <c r="L61" i="118"/>
  <c r="M61" i="118" s="1"/>
  <c r="P61" i="118" s="1"/>
  <c r="Q61" i="118" s="1"/>
  <c r="I1307" i="102"/>
  <c r="J1288" i="102" s="1"/>
  <c r="D125" i="86" s="1"/>
  <c r="L257" i="118"/>
  <c r="M257" i="118" s="1"/>
  <c r="P257" i="118" s="1"/>
  <c r="Q257" i="118" s="1"/>
  <c r="L291" i="48"/>
  <c r="M291" i="48" s="1"/>
  <c r="L53" i="118"/>
  <c r="M53" i="118" s="1"/>
  <c r="P53" i="118" s="1"/>
  <c r="Q53" i="118" s="1"/>
  <c r="L327" i="48"/>
  <c r="M327" i="48" s="1"/>
  <c r="L570" i="48"/>
  <c r="M570" i="48" s="1"/>
  <c r="L429" i="118"/>
  <c r="M429" i="118" s="1"/>
  <c r="P429" i="118" s="1"/>
  <c r="Q429" i="118" s="1"/>
  <c r="L427" i="48"/>
  <c r="E95" i="86" s="1"/>
  <c r="L562" i="118"/>
  <c r="M562" i="118" s="1"/>
  <c r="P562" i="118" s="1"/>
  <c r="Q562" i="118" s="1"/>
  <c r="L362" i="48"/>
  <c r="M362" i="48" s="1"/>
  <c r="L363" i="118"/>
  <c r="M363" i="118" s="1"/>
  <c r="P363" i="118" s="1"/>
  <c r="Q363" i="118" s="1"/>
  <c r="L292" i="48"/>
  <c r="M292" i="48" s="1"/>
  <c r="L329" i="118"/>
  <c r="M329" i="118" s="1"/>
  <c r="P329" i="118" s="1"/>
  <c r="Q329" i="118" s="1"/>
  <c r="L256" i="48"/>
  <c r="E103" i="86" s="1"/>
  <c r="L294" i="118"/>
  <c r="M294" i="118" s="1"/>
  <c r="P294" i="118" s="1"/>
  <c r="Q294" i="118" s="1"/>
  <c r="L293" i="118"/>
  <c r="M293" i="118" s="1"/>
  <c r="P293" i="118" s="1"/>
  <c r="Q293" i="118" s="1"/>
  <c r="L439" i="48"/>
  <c r="M439" i="48" s="1"/>
  <c r="L258" i="118"/>
  <c r="M258" i="118" s="1"/>
  <c r="P258" i="118" s="1"/>
  <c r="Q258" i="118" s="1"/>
  <c r="L361" i="48"/>
  <c r="M361" i="48" s="1"/>
  <c r="L441" i="118"/>
  <c r="M441" i="118" s="1"/>
  <c r="P441" i="118" s="1"/>
  <c r="Q441" i="118" s="1"/>
  <c r="L364" i="118"/>
  <c r="M364" i="118" s="1"/>
  <c r="P364" i="118" s="1"/>
  <c r="Q364" i="118" s="1"/>
  <c r="L328" i="118"/>
  <c r="M328" i="118" s="1"/>
  <c r="P328" i="118" s="1"/>
  <c r="Q328" i="118" s="1"/>
  <c r="I1327" i="102"/>
  <c r="I1328" i="102" s="1"/>
  <c r="J1309" i="102" s="1"/>
  <c r="L66" i="48"/>
  <c r="M66" i="48" s="1"/>
  <c r="L558" i="118"/>
  <c r="M558" i="118" s="1"/>
  <c r="P558" i="118" s="1"/>
  <c r="Q558" i="118" s="1"/>
  <c r="L556" i="48"/>
  <c r="M556" i="48" s="1"/>
  <c r="L423" i="48"/>
  <c r="E89" i="86" s="1"/>
  <c r="D18" i="86"/>
  <c r="I127" i="102"/>
  <c r="J109" i="102" s="1"/>
  <c r="D123" i="86"/>
  <c r="D79" i="86"/>
  <c r="L410" i="118"/>
  <c r="M410" i="118" s="1"/>
  <c r="P410" i="118" s="1"/>
  <c r="Q410" i="118" s="1"/>
  <c r="L101" i="48"/>
  <c r="E33" i="86" s="1"/>
  <c r="L408" i="48"/>
  <c r="M408" i="48" s="1"/>
  <c r="L541" i="48"/>
  <c r="M541" i="48" s="1"/>
  <c r="L440" i="118"/>
  <c r="M440" i="118" s="1"/>
  <c r="P440" i="118" s="1"/>
  <c r="Q440" i="118" s="1"/>
  <c r="L438" i="48"/>
  <c r="M438" i="48" s="1"/>
  <c r="L138" i="118"/>
  <c r="M138" i="118" s="1"/>
  <c r="P138" i="118" s="1"/>
  <c r="Q138" i="118" s="1"/>
  <c r="L162" i="48"/>
  <c r="M162" i="48" s="1"/>
  <c r="L220" i="48"/>
  <c r="M220" i="48" s="1"/>
  <c r="L136" i="48"/>
  <c r="E101" i="86" s="1"/>
  <c r="L557" i="48"/>
  <c r="M557" i="48" s="1"/>
  <c r="L290" i="48"/>
  <c r="M290" i="48" s="1"/>
  <c r="I522" i="102"/>
  <c r="J504" i="102" s="1"/>
  <c r="D37" i="86" s="1"/>
  <c r="L325" i="48"/>
  <c r="M325" i="48" s="1"/>
  <c r="L193" i="48"/>
  <c r="M193" i="48" s="1"/>
  <c r="L559" i="118"/>
  <c r="M559" i="118" s="1"/>
  <c r="P559" i="118" s="1"/>
  <c r="Q559" i="118" s="1"/>
  <c r="L426" i="118"/>
  <c r="M426" i="118" s="1"/>
  <c r="P426" i="118" s="1"/>
  <c r="Q426" i="118" s="1"/>
  <c r="L254" i="48"/>
  <c r="M254" i="48" s="1"/>
  <c r="L292" i="118"/>
  <c r="M292" i="118" s="1"/>
  <c r="P292" i="118" s="1"/>
  <c r="Q292" i="118" s="1"/>
  <c r="L222" i="118"/>
  <c r="M222" i="118" s="1"/>
  <c r="P222" i="118" s="1"/>
  <c r="Q222" i="118" s="1"/>
  <c r="L362" i="118"/>
  <c r="M362" i="118" s="1"/>
  <c r="P362" i="118" s="1"/>
  <c r="Q362" i="118" s="1"/>
  <c r="E132" i="86"/>
  <c r="L164" i="118"/>
  <c r="M164" i="118" s="1"/>
  <c r="P164" i="118" s="1"/>
  <c r="Q164" i="118" s="1"/>
  <c r="L52" i="48"/>
  <c r="E135" i="86" s="1"/>
  <c r="L60" i="48"/>
  <c r="M60" i="48" s="1"/>
  <c r="L569" i="48"/>
  <c r="M569" i="48" s="1"/>
  <c r="L327" i="118"/>
  <c r="M327" i="118" s="1"/>
  <c r="L62" i="118"/>
  <c r="M62" i="118" s="1"/>
  <c r="P62" i="118" s="1"/>
  <c r="Q62" i="118" s="1"/>
  <c r="L54" i="118"/>
  <c r="M54" i="118" s="1"/>
  <c r="P54" i="118" s="1"/>
  <c r="Q54" i="118" s="1"/>
  <c r="L410" i="48"/>
  <c r="M410" i="48" s="1"/>
  <c r="L545" i="118"/>
  <c r="M545" i="118" s="1"/>
  <c r="P545" i="118" s="1"/>
  <c r="Q545" i="118" s="1"/>
  <c r="L412" i="118"/>
  <c r="M412" i="118" s="1"/>
  <c r="P412" i="118" s="1"/>
  <c r="Q412" i="118" s="1"/>
  <c r="L543" i="48"/>
  <c r="M543" i="48" s="1"/>
  <c r="L256" i="118"/>
  <c r="M256" i="118" s="1"/>
  <c r="P256" i="118" s="1"/>
  <c r="Q256" i="118" s="1"/>
  <c r="L103" i="118"/>
  <c r="M103" i="118" s="1"/>
  <c r="P103" i="118" s="1"/>
  <c r="L543" i="118"/>
  <c r="M543" i="118" s="1"/>
  <c r="P543" i="118" s="1"/>
  <c r="Q543" i="118" s="1"/>
  <c r="D122" i="86"/>
  <c r="D78" i="86"/>
  <c r="P366" i="118"/>
  <c r="Q366" i="118" s="1"/>
  <c r="M258" i="48"/>
  <c r="E105" i="86"/>
  <c r="L360" i="48"/>
  <c r="M360" i="48" s="1"/>
  <c r="L571" i="118"/>
  <c r="M571" i="118" s="1"/>
  <c r="P571" i="118" s="1"/>
  <c r="Q571" i="118" s="1"/>
  <c r="L572" i="48"/>
  <c r="M572" i="48" s="1"/>
  <c r="L367" i="118"/>
  <c r="M367" i="118" s="1"/>
  <c r="P367" i="118" s="1"/>
  <c r="Q367" i="118" s="1"/>
  <c r="L297" i="118"/>
  <c r="M297" i="118" s="1"/>
  <c r="P297" i="118" s="1"/>
  <c r="Q297" i="118" s="1"/>
  <c r="L295" i="48"/>
  <c r="M295" i="48" s="1"/>
  <c r="L332" i="118"/>
  <c r="M332" i="118" s="1"/>
  <c r="P332" i="118" s="1"/>
  <c r="Q332" i="118" s="1"/>
  <c r="L443" i="118"/>
  <c r="M443" i="118" s="1"/>
  <c r="P443" i="118" s="1"/>
  <c r="Q443" i="118" s="1"/>
  <c r="L259" i="48"/>
  <c r="L441" i="48"/>
  <c r="M441" i="48" s="1"/>
  <c r="L574" i="118"/>
  <c r="M574" i="118" s="1"/>
  <c r="P574" i="118" s="1"/>
  <c r="Q574" i="118" s="1"/>
  <c r="L261" i="118"/>
  <c r="M261" i="118" s="1"/>
  <c r="P261" i="118" s="1"/>
  <c r="Q261" i="118" s="1"/>
  <c r="L365" i="48"/>
  <c r="M365" i="48" s="1"/>
  <c r="L330" i="48"/>
  <c r="M330" i="48" s="1"/>
  <c r="P573" i="118"/>
  <c r="Q573" i="118" s="1"/>
  <c r="L71" i="48"/>
  <c r="M71" i="48" s="1"/>
  <c r="L67" i="118"/>
  <c r="M67" i="118" s="1"/>
  <c r="L59" i="118"/>
  <c r="M59" i="118" s="1"/>
  <c r="L57" i="48"/>
  <c r="M57" i="48" s="1"/>
  <c r="L31" i="48"/>
  <c r="L49" i="48"/>
  <c r="M49" i="48" s="1"/>
  <c r="L33" i="118"/>
  <c r="M33" i="118" s="1"/>
  <c r="P33" i="118" s="1"/>
  <c r="Q33" i="118" s="1"/>
  <c r="L65" i="48"/>
  <c r="M65" i="48" s="1"/>
  <c r="L51" i="118"/>
  <c r="M51" i="118" s="1"/>
  <c r="P51" i="118" s="1"/>
  <c r="Q51" i="118" s="1"/>
  <c r="P442" i="118"/>
  <c r="Q442" i="118" s="1"/>
  <c r="L279" i="118"/>
  <c r="M279" i="118" s="1"/>
  <c r="L347" i="48"/>
  <c r="M347" i="48" s="1"/>
  <c r="L241" i="48"/>
  <c r="M241" i="48" s="1"/>
  <c r="L155" i="48"/>
  <c r="M155" i="48" s="1"/>
  <c r="L157" i="118"/>
  <c r="M157" i="118" s="1"/>
  <c r="L215" i="118"/>
  <c r="M215" i="118" s="1"/>
  <c r="L181" i="48"/>
  <c r="M181" i="48" s="1"/>
  <c r="L277" i="48"/>
  <c r="M277" i="48" s="1"/>
  <c r="L131" i="118"/>
  <c r="M131" i="118" s="1"/>
  <c r="P131" i="118" s="1"/>
  <c r="Q131" i="118" s="1"/>
  <c r="L129" i="48"/>
  <c r="L183" i="118"/>
  <c r="M183" i="118" s="1"/>
  <c r="L243" i="118"/>
  <c r="M243" i="118" s="1"/>
  <c r="L213" i="48"/>
  <c r="M213" i="48" s="1"/>
  <c r="L349" i="118"/>
  <c r="M349" i="118" s="1"/>
  <c r="L314" i="118"/>
  <c r="M314" i="118" s="1"/>
  <c r="P314" i="118" s="1"/>
  <c r="Q314" i="118" s="1"/>
  <c r="L312" i="48"/>
  <c r="M312" i="48" s="1"/>
  <c r="L95" i="48"/>
  <c r="L97" i="118"/>
  <c r="L589" i="118"/>
  <c r="M589" i="118" s="1"/>
  <c r="P589" i="118" s="1"/>
  <c r="Q589" i="118" s="1"/>
  <c r="L390" i="118"/>
  <c r="M390" i="118" s="1"/>
  <c r="P390" i="118" s="1"/>
  <c r="Q390" i="118" s="1"/>
  <c r="L494" i="118"/>
  <c r="M494" i="118" s="1"/>
  <c r="P494" i="118" s="1"/>
  <c r="Q494" i="118" s="1"/>
  <c r="L492" i="48"/>
  <c r="M492" i="48" s="1"/>
  <c r="L587" i="48"/>
  <c r="M587" i="48" s="1"/>
  <c r="L388" i="48"/>
  <c r="L154" i="48"/>
  <c r="M154" i="48" s="1"/>
  <c r="L214" i="118"/>
  <c r="M214" i="118" s="1"/>
  <c r="L128" i="48"/>
  <c r="L130" i="118"/>
  <c r="M130" i="118" s="1"/>
  <c r="L212" i="48"/>
  <c r="M212" i="48" s="1"/>
  <c r="L182" i="118"/>
  <c r="M182" i="118" s="1"/>
  <c r="L242" i="118"/>
  <c r="M242" i="118" s="1"/>
  <c r="L180" i="48"/>
  <c r="M180" i="48" s="1"/>
  <c r="L276" i="48"/>
  <c r="M276" i="48" s="1"/>
  <c r="L156" i="118"/>
  <c r="M156" i="118" s="1"/>
  <c r="L311" i="48"/>
  <c r="M311" i="48" s="1"/>
  <c r="L346" i="48"/>
  <c r="M346" i="48" s="1"/>
  <c r="L586" i="118"/>
  <c r="M586" i="118" s="1"/>
  <c r="L278" i="118"/>
  <c r="M278" i="118" s="1"/>
  <c r="L240" i="48"/>
  <c r="M240" i="48" s="1"/>
  <c r="L313" i="118"/>
  <c r="M313" i="118" s="1"/>
  <c r="L348" i="118"/>
  <c r="M348" i="118" s="1"/>
  <c r="L584" i="48"/>
  <c r="M584" i="48" s="1"/>
  <c r="L228" i="118"/>
  <c r="M228" i="118" s="1"/>
  <c r="L201" i="118"/>
  <c r="M201" i="118" s="1"/>
  <c r="L226" i="48"/>
  <c r="M226" i="48" s="1"/>
  <c r="L336" i="118"/>
  <c r="M336" i="118" s="1"/>
  <c r="L265" i="118"/>
  <c r="M265" i="118" s="1"/>
  <c r="L168" i="48"/>
  <c r="M168" i="48" s="1"/>
  <c r="L301" i="118"/>
  <c r="M301" i="118" s="1"/>
  <c r="L144" i="118"/>
  <c r="M144" i="118" s="1"/>
  <c r="L263" i="48"/>
  <c r="M263" i="48" s="1"/>
  <c r="L170" i="118"/>
  <c r="M170" i="118" s="1"/>
  <c r="L371" i="118"/>
  <c r="M371" i="118" s="1"/>
  <c r="L199" i="48"/>
  <c r="M199" i="48" s="1"/>
  <c r="L334" i="48"/>
  <c r="M334" i="48" s="1"/>
  <c r="L369" i="48"/>
  <c r="M369" i="48" s="1"/>
  <c r="L299" i="48"/>
  <c r="M299" i="48" s="1"/>
  <c r="L142" i="48"/>
  <c r="D128" i="86"/>
  <c r="D84" i="86"/>
  <c r="L499" i="118"/>
  <c r="M499" i="118" s="1"/>
  <c r="P499" i="118" s="1"/>
  <c r="Q499" i="118" s="1"/>
  <c r="L421" i="118"/>
  <c r="M421" i="118" s="1"/>
  <c r="L517" i="118"/>
  <c r="M517" i="118" s="1"/>
  <c r="L419" i="48"/>
  <c r="L497" i="48"/>
  <c r="M497" i="48" s="1"/>
  <c r="L515" i="48"/>
  <c r="M515" i="48" s="1"/>
  <c r="L552" i="48"/>
  <c r="M552" i="48" s="1"/>
  <c r="L463" i="48"/>
  <c r="M463" i="48" s="1"/>
  <c r="L554" i="118"/>
  <c r="M554" i="118" s="1"/>
  <c r="L465" i="118"/>
  <c r="M465" i="118" s="1"/>
  <c r="D121" i="86"/>
  <c r="D77" i="86"/>
  <c r="L188" i="118"/>
  <c r="M188" i="118" s="1"/>
  <c r="P188" i="118" s="1"/>
  <c r="Q188" i="118" s="1"/>
  <c r="L186" i="48"/>
  <c r="L34" i="118"/>
  <c r="M34" i="118" s="1"/>
  <c r="L32" i="48"/>
  <c r="L350" i="118"/>
  <c r="M350" i="118" s="1"/>
  <c r="L280" i="118"/>
  <c r="M280" i="118" s="1"/>
  <c r="L278" i="48"/>
  <c r="M278" i="48" s="1"/>
  <c r="L315" i="118"/>
  <c r="M315" i="118" s="1"/>
  <c r="L244" i="118"/>
  <c r="M244" i="118" s="1"/>
  <c r="L348" i="48"/>
  <c r="M348" i="48" s="1"/>
  <c r="L313" i="48"/>
  <c r="M313" i="48" s="1"/>
  <c r="L242" i="48"/>
  <c r="E137" i="86"/>
  <c r="M78" i="48"/>
  <c r="P323" i="118"/>
  <c r="Q323" i="118" s="1"/>
  <c r="D31" i="86"/>
  <c r="H1862" i="102"/>
  <c r="I1862" i="102" s="1"/>
  <c r="L143" i="118"/>
  <c r="M143" i="118" s="1"/>
  <c r="P143" i="118" s="1"/>
  <c r="Q143" i="118" s="1"/>
  <c r="L227" i="118"/>
  <c r="M227" i="118" s="1"/>
  <c r="P227" i="118" s="1"/>
  <c r="Q227" i="118" s="1"/>
  <c r="L167" i="48"/>
  <c r="M167" i="48" s="1"/>
  <c r="L264" i="118"/>
  <c r="M264" i="118" s="1"/>
  <c r="P264" i="118" s="1"/>
  <c r="Q264" i="118" s="1"/>
  <c r="L200" i="118"/>
  <c r="M200" i="118" s="1"/>
  <c r="L141" i="48"/>
  <c r="L493" i="118"/>
  <c r="M493" i="118" s="1"/>
  <c r="L386" i="48"/>
  <c r="M386" i="48" s="1"/>
  <c r="L368" i="48"/>
  <c r="M368" i="48" s="1"/>
  <c r="L169" i="118"/>
  <c r="M169" i="118" s="1"/>
  <c r="L510" i="48"/>
  <c r="M510" i="48" s="1"/>
  <c r="L298" i="48"/>
  <c r="M298" i="48" s="1"/>
  <c r="L335" i="118"/>
  <c r="M335" i="118" s="1"/>
  <c r="P335" i="118" s="1"/>
  <c r="Q335" i="118" s="1"/>
  <c r="L512" i="118"/>
  <c r="M512" i="118" s="1"/>
  <c r="L523" i="48"/>
  <c r="M523" i="48" s="1"/>
  <c r="L225" i="48"/>
  <c r="M225" i="48" s="1"/>
  <c r="L388" i="118"/>
  <c r="M388" i="118" s="1"/>
  <c r="L300" i="118"/>
  <c r="M300" i="118" s="1"/>
  <c r="L491" i="48"/>
  <c r="M491" i="48" s="1"/>
  <c r="L333" i="48"/>
  <c r="M333" i="48" s="1"/>
  <c r="L370" i="118"/>
  <c r="M370" i="118" s="1"/>
  <c r="P370" i="118" s="1"/>
  <c r="Q370" i="118" s="1"/>
  <c r="L525" i="118"/>
  <c r="M525" i="118" s="1"/>
  <c r="L262" i="48"/>
  <c r="M262" i="48" s="1"/>
  <c r="L198" i="48"/>
  <c r="M198" i="48" s="1"/>
  <c r="L535" i="48"/>
  <c r="M535" i="48" s="1"/>
  <c r="L404" i="118"/>
  <c r="M404" i="118" s="1"/>
  <c r="L96" i="118"/>
  <c r="M96" i="118" s="1"/>
  <c r="P96" i="118" s="1"/>
  <c r="Q96" i="118" s="1"/>
  <c r="L537" i="118"/>
  <c r="M537" i="118" s="1"/>
  <c r="P537" i="118" s="1"/>
  <c r="Q537" i="118" s="1"/>
  <c r="L94" i="48"/>
  <c r="L402" i="48"/>
  <c r="M402" i="48" s="1"/>
  <c r="M428" i="48"/>
  <c r="E97" i="86"/>
  <c r="P572" i="118"/>
  <c r="Q572" i="118" s="1"/>
  <c r="P358" i="118"/>
  <c r="Q358" i="118" s="1"/>
  <c r="E134" i="86"/>
  <c r="M59" i="48"/>
  <c r="E92" i="86"/>
  <c r="M138" i="48"/>
  <c r="M426" i="48"/>
  <c r="E98" i="86"/>
  <c r="P32" i="118"/>
  <c r="L389" i="118"/>
  <c r="M389" i="118" s="1"/>
  <c r="P389" i="118" s="1"/>
  <c r="Q389" i="118" s="1"/>
  <c r="L387" i="48"/>
  <c r="E13" i="86"/>
  <c r="M30" i="48"/>
  <c r="L94" i="118"/>
  <c r="M94" i="118" s="1"/>
  <c r="P94" i="118" s="1"/>
  <c r="Q94" i="118" s="1"/>
  <c r="L536" i="118"/>
  <c r="L535" i="118"/>
  <c r="L400" i="48"/>
  <c r="M400" i="48" s="1"/>
  <c r="L93" i="48"/>
  <c r="M93" i="48" s="1"/>
  <c r="L534" i="48"/>
  <c r="M534" i="48" s="1"/>
  <c r="L92" i="48"/>
  <c r="L401" i="48"/>
  <c r="M401" i="48" s="1"/>
  <c r="L402" i="118"/>
  <c r="M402" i="118" s="1"/>
  <c r="L533" i="48"/>
  <c r="M533" i="48" s="1"/>
  <c r="L403" i="118"/>
  <c r="M403" i="118" s="1"/>
  <c r="P403" i="118" s="1"/>
  <c r="Q403" i="118" s="1"/>
  <c r="L95" i="118"/>
  <c r="M95" i="118" s="1"/>
  <c r="P95" i="118" s="1"/>
  <c r="Q95" i="118" s="1"/>
  <c r="M409" i="48"/>
  <c r="E51" i="86"/>
  <c r="L322" i="118"/>
  <c r="M322" i="118" s="1"/>
  <c r="P322" i="118" s="1"/>
  <c r="Q322" i="118" s="1"/>
  <c r="L165" i="118"/>
  <c r="M165" i="118" s="1"/>
  <c r="P165" i="118" s="1"/>
  <c r="Q165" i="118" s="1"/>
  <c r="L431" i="118"/>
  <c r="M431" i="118" s="1"/>
  <c r="P431" i="118" s="1"/>
  <c r="Q431" i="118" s="1"/>
  <c r="L357" i="118"/>
  <c r="M357" i="118" s="1"/>
  <c r="L251" i="118"/>
  <c r="M251" i="118" s="1"/>
  <c r="P251" i="118" s="1"/>
  <c r="Q251" i="118" s="1"/>
  <c r="L563" i="118"/>
  <c r="M563" i="118" s="1"/>
  <c r="P563" i="118" s="1"/>
  <c r="Q563" i="118" s="1"/>
  <c r="L287" i="118"/>
  <c r="M287" i="118" s="1"/>
  <c r="P287" i="118" s="1"/>
  <c r="Q287" i="118" s="1"/>
  <c r="L196" i="118"/>
  <c r="M196" i="118" s="1"/>
  <c r="L355" i="48"/>
  <c r="M355" i="48" s="1"/>
  <c r="L429" i="48"/>
  <c r="M429" i="48" s="1"/>
  <c r="L561" i="48"/>
  <c r="M561" i="48" s="1"/>
  <c r="L194" i="48"/>
  <c r="M194" i="48" s="1"/>
  <c r="L139" i="118"/>
  <c r="M139" i="118" s="1"/>
  <c r="P139" i="118" s="1"/>
  <c r="Q139" i="118" s="1"/>
  <c r="L163" i="48"/>
  <c r="M163" i="48" s="1"/>
  <c r="L223" i="118"/>
  <c r="M223" i="118" s="1"/>
  <c r="P223" i="118" s="1"/>
  <c r="Q223" i="118" s="1"/>
  <c r="L320" i="48"/>
  <c r="M320" i="48" s="1"/>
  <c r="L137" i="48"/>
  <c r="L221" i="48"/>
  <c r="M221" i="48" s="1"/>
  <c r="L249" i="48"/>
  <c r="M249" i="48" s="1"/>
  <c r="L285" i="48"/>
  <c r="M285" i="48" s="1"/>
  <c r="E93" i="86"/>
  <c r="M250" i="48"/>
  <c r="D32" i="86"/>
  <c r="H1863" i="102"/>
  <c r="I1863" i="102" s="1"/>
  <c r="L35" i="118"/>
  <c r="L33" i="48"/>
  <c r="I1348" i="102"/>
  <c r="I1349" i="102" s="1"/>
  <c r="J1330" i="102" s="1"/>
  <c r="M96" i="48"/>
  <c r="V69" i="82"/>
  <c r="W69" i="82" s="1"/>
  <c r="E24" i="86"/>
  <c r="P80" i="118"/>
  <c r="Q80" i="118" s="1"/>
  <c r="L538" i="118"/>
  <c r="M538" i="118" s="1"/>
  <c r="P538" i="118" s="1"/>
  <c r="Q538" i="118" s="1"/>
  <c r="L403" i="48"/>
  <c r="L536" i="48"/>
  <c r="M536" i="48" s="1"/>
  <c r="L405" i="118"/>
  <c r="M405" i="118" s="1"/>
  <c r="P405" i="118" s="1"/>
  <c r="Q405" i="118" s="1"/>
  <c r="L187" i="118"/>
  <c r="M187" i="118" s="1"/>
  <c r="P187" i="118" s="1"/>
  <c r="Q187" i="118" s="1"/>
  <c r="L185" i="48"/>
  <c r="P425" i="118"/>
  <c r="Q425" i="118" s="1"/>
  <c r="E133" i="86"/>
  <c r="M51" i="48"/>
  <c r="E90" i="86"/>
  <c r="M424" i="48"/>
  <c r="M29" i="48" l="1"/>
  <c r="H31" i="118"/>
  <c r="M31" i="118" s="1"/>
  <c r="P31" i="118" s="1"/>
  <c r="Q31" i="118" s="1"/>
  <c r="M97" i="118"/>
  <c r="P97" i="118" s="1"/>
  <c r="Q97" i="118" s="1"/>
  <c r="M418" i="48"/>
  <c r="E87" i="86"/>
  <c r="N76" i="118"/>
  <c r="P72" i="118"/>
  <c r="P76" i="118" s="1"/>
  <c r="M535" i="118"/>
  <c r="P535" i="118" s="1"/>
  <c r="Q535" i="118" s="1"/>
  <c r="M536" i="118"/>
  <c r="P536" i="118" s="1"/>
  <c r="Q536" i="118" s="1"/>
  <c r="L518" i="48"/>
  <c r="M518" i="48" s="1"/>
  <c r="L117" i="118"/>
  <c r="M117" i="118" s="1"/>
  <c r="P117" i="118" s="1"/>
  <c r="L118" i="118"/>
  <c r="M118" i="118" s="1"/>
  <c r="P118" i="118" s="1"/>
  <c r="L204" i="118"/>
  <c r="M204" i="118" s="1"/>
  <c r="P204" i="118" s="1"/>
  <c r="Q204" i="118" s="1"/>
  <c r="L173" i="118"/>
  <c r="M173" i="118" s="1"/>
  <c r="P173" i="118" s="1"/>
  <c r="Q173" i="118" s="1"/>
  <c r="L145" i="48"/>
  <c r="M145" i="48" s="1"/>
  <c r="E11" i="86"/>
  <c r="L372" i="48"/>
  <c r="M372" i="48" s="1"/>
  <c r="L229" i="48"/>
  <c r="M229" i="48" s="1"/>
  <c r="L202" i="48"/>
  <c r="M202" i="48" s="1"/>
  <c r="L483" i="118"/>
  <c r="M483" i="118" s="1"/>
  <c r="P483" i="118" s="1"/>
  <c r="Q483" i="118" s="1"/>
  <c r="L576" i="48"/>
  <c r="M576" i="48" s="1"/>
  <c r="L445" i="48"/>
  <c r="M445" i="48" s="1"/>
  <c r="N70" i="118"/>
  <c r="L524" i="48"/>
  <c r="M524" i="48" s="1"/>
  <c r="L205" i="118"/>
  <c r="M205" i="118" s="1"/>
  <c r="P205" i="118" s="1"/>
  <c r="Q205" i="118" s="1"/>
  <c r="L107" i="48"/>
  <c r="M107" i="48" s="1"/>
  <c r="L526" i="118"/>
  <c r="M526" i="118" s="1"/>
  <c r="P526" i="118" s="1"/>
  <c r="Q526" i="118" s="1"/>
  <c r="D81" i="86"/>
  <c r="L203" i="48"/>
  <c r="M203" i="48" s="1"/>
  <c r="L268" i="118"/>
  <c r="M268" i="118" s="1"/>
  <c r="P268" i="118" s="1"/>
  <c r="Q268" i="118" s="1"/>
  <c r="L481" i="48"/>
  <c r="M481" i="48" s="1"/>
  <c r="M483" i="48" s="1"/>
  <c r="N483" i="48" s="1"/>
  <c r="L115" i="48"/>
  <c r="M115" i="48" s="1"/>
  <c r="L520" i="118"/>
  <c r="M520" i="118" s="1"/>
  <c r="P520" i="118" s="1"/>
  <c r="Q520" i="118" s="1"/>
  <c r="L302" i="48"/>
  <c r="M302" i="48" s="1"/>
  <c r="L468" i="118"/>
  <c r="M468" i="118" s="1"/>
  <c r="P468" i="118" s="1"/>
  <c r="Q468" i="118" s="1"/>
  <c r="L44" i="118"/>
  <c r="M44" i="118" s="1"/>
  <c r="P44" i="118" s="1"/>
  <c r="Q44" i="118" s="1"/>
  <c r="L106" i="48"/>
  <c r="E73" i="86" s="1"/>
  <c r="L269" i="118"/>
  <c r="M269" i="118" s="1"/>
  <c r="P269" i="118" s="1"/>
  <c r="Q269" i="118" s="1"/>
  <c r="L304" i="118"/>
  <c r="M304" i="118" s="1"/>
  <c r="P304" i="118" s="1"/>
  <c r="Q304" i="118" s="1"/>
  <c r="L107" i="118"/>
  <c r="M107" i="118" s="1"/>
  <c r="L105" i="48"/>
  <c r="L502" i="118"/>
  <c r="M502" i="118" s="1"/>
  <c r="P502" i="118" s="1"/>
  <c r="Q502" i="118" s="1"/>
  <c r="L266" i="48"/>
  <c r="M266" i="48" s="1"/>
  <c r="L147" i="118"/>
  <c r="M147" i="118" s="1"/>
  <c r="P147" i="118" s="1"/>
  <c r="Q147" i="118" s="1"/>
  <c r="L231" i="118"/>
  <c r="M231" i="118" s="1"/>
  <c r="P231" i="118" s="1"/>
  <c r="Q231" i="118" s="1"/>
  <c r="L337" i="48"/>
  <c r="M337" i="48" s="1"/>
  <c r="L171" i="48"/>
  <c r="M171" i="48" s="1"/>
  <c r="L116" i="48"/>
  <c r="M116" i="48" s="1"/>
  <c r="L500" i="48"/>
  <c r="M500" i="48" s="1"/>
  <c r="L447" i="118"/>
  <c r="M447" i="118" s="1"/>
  <c r="P447" i="118" s="1"/>
  <c r="L117" i="48"/>
  <c r="M117" i="48" s="1"/>
  <c r="L578" i="118"/>
  <c r="M578" i="118" s="1"/>
  <c r="P578" i="118" s="1"/>
  <c r="Q578" i="118" s="1"/>
  <c r="L42" i="48"/>
  <c r="E67" i="86" s="1"/>
  <c r="L374" i="118"/>
  <c r="M374" i="118" s="1"/>
  <c r="P374" i="118" s="1"/>
  <c r="Q374" i="118" s="1"/>
  <c r="L267" i="48"/>
  <c r="M267" i="48" s="1"/>
  <c r="P584" i="118"/>
  <c r="L394" i="118"/>
  <c r="M394" i="118" s="1"/>
  <c r="P394" i="118" s="1"/>
  <c r="Q394" i="118" s="1"/>
  <c r="L339" i="118"/>
  <c r="M339" i="118" s="1"/>
  <c r="P339" i="118" s="1"/>
  <c r="Q339" i="118" s="1"/>
  <c r="L392" i="48"/>
  <c r="M392" i="48" s="1"/>
  <c r="H31" i="5"/>
  <c r="M35" i="118"/>
  <c r="P35" i="118" s="1"/>
  <c r="Q35" i="118" s="1"/>
  <c r="E131" i="86"/>
  <c r="M468" i="48"/>
  <c r="J26" i="5" s="1"/>
  <c r="N607" i="118"/>
  <c r="M74" i="48"/>
  <c r="M257" i="48"/>
  <c r="E102" i="86"/>
  <c r="D22" i="86"/>
  <c r="L91" i="48" s="1"/>
  <c r="M91" i="48" s="1"/>
  <c r="L566" i="48"/>
  <c r="M566" i="48" s="1"/>
  <c r="L435" i="48"/>
  <c r="E80" i="86" s="1"/>
  <c r="L568" i="118"/>
  <c r="M568" i="118" s="1"/>
  <c r="P568" i="118" s="1"/>
  <c r="Q568" i="118" s="1"/>
  <c r="Q420" i="118"/>
  <c r="M256" i="48"/>
  <c r="M427" i="48"/>
  <c r="M101" i="48"/>
  <c r="E52" i="86"/>
  <c r="M423" i="48"/>
  <c r="M52" i="48"/>
  <c r="D126" i="86"/>
  <c r="D82" i="86"/>
  <c r="M136" i="48"/>
  <c r="L60" i="118"/>
  <c r="M60" i="118" s="1"/>
  <c r="P60" i="118" s="1"/>
  <c r="Q60" i="118" s="1"/>
  <c r="L36" i="118"/>
  <c r="M36" i="118" s="1"/>
  <c r="P36" i="118" s="1"/>
  <c r="Q36" i="118" s="1"/>
  <c r="L39" i="48"/>
  <c r="M39" i="48" s="1"/>
  <c r="L52" i="118"/>
  <c r="M52" i="118" s="1"/>
  <c r="L58" i="48"/>
  <c r="M58" i="48" s="1"/>
  <c r="M62" i="48" s="1"/>
  <c r="L50" i="48"/>
  <c r="M50" i="48" s="1"/>
  <c r="L41" i="118"/>
  <c r="M41" i="118" s="1"/>
  <c r="P41" i="118" s="1"/>
  <c r="Q41" i="118" s="1"/>
  <c r="L34" i="48"/>
  <c r="L434" i="48"/>
  <c r="L436" i="118"/>
  <c r="M436" i="118" s="1"/>
  <c r="P436" i="118" s="1"/>
  <c r="Q436" i="118" s="1"/>
  <c r="M68" i="48"/>
  <c r="P327" i="118"/>
  <c r="Q327" i="118" s="1"/>
  <c r="Q103" i="118"/>
  <c r="P67" i="118"/>
  <c r="Q67" i="118" s="1"/>
  <c r="Q70" i="118" s="1"/>
  <c r="M589" i="48"/>
  <c r="H30" i="5" s="1"/>
  <c r="M259" i="48"/>
  <c r="E106" i="86"/>
  <c r="P59" i="118"/>
  <c r="I1865" i="102"/>
  <c r="E14" i="86"/>
  <c r="M31" i="48"/>
  <c r="L509" i="118"/>
  <c r="M509" i="118" s="1"/>
  <c r="L490" i="118"/>
  <c r="M490" i="118" s="1"/>
  <c r="L488" i="48"/>
  <c r="L507" i="48"/>
  <c r="M507" i="48" s="1"/>
  <c r="D83" i="86"/>
  <c r="D127" i="86"/>
  <c r="E56" i="86"/>
  <c r="M33" i="48"/>
  <c r="P357" i="118"/>
  <c r="Q357" i="118" s="1"/>
  <c r="E23" i="86"/>
  <c r="M92" i="48"/>
  <c r="Q480" i="118"/>
  <c r="Q594" i="118"/>
  <c r="Q607" i="118" s="1"/>
  <c r="Q40" i="118"/>
  <c r="P300" i="118"/>
  <c r="Q300" i="118" s="1"/>
  <c r="P169" i="118"/>
  <c r="Q169" i="118" s="1"/>
  <c r="P517" i="118"/>
  <c r="Q517" i="118" s="1"/>
  <c r="P265" i="118"/>
  <c r="Q265" i="118" s="1"/>
  <c r="P242" i="118"/>
  <c r="Q242" i="118" s="1"/>
  <c r="M388" i="48"/>
  <c r="E42" i="86"/>
  <c r="P388" i="118"/>
  <c r="P280" i="118"/>
  <c r="Q280" i="118" s="1"/>
  <c r="P465" i="118"/>
  <c r="P421" i="118"/>
  <c r="Q421" i="118" s="1"/>
  <c r="P336" i="118"/>
  <c r="Q336" i="118" s="1"/>
  <c r="P278" i="118"/>
  <c r="Q278" i="118" s="1"/>
  <c r="P182" i="118"/>
  <c r="M403" i="48"/>
  <c r="E27" i="86"/>
  <c r="P350" i="118"/>
  <c r="Q350" i="118" s="1"/>
  <c r="P554" i="118"/>
  <c r="Q554" i="118" s="1"/>
  <c r="P371" i="118"/>
  <c r="Q371" i="118" s="1"/>
  <c r="P586" i="118"/>
  <c r="P591" i="118" s="1"/>
  <c r="N591" i="118"/>
  <c r="P349" i="118"/>
  <c r="Q349" i="118" s="1"/>
  <c r="P215" i="118"/>
  <c r="Q215" i="118" s="1"/>
  <c r="E94" i="86"/>
  <c r="M137" i="48"/>
  <c r="Q32" i="118"/>
  <c r="E26" i="86"/>
  <c r="M94" i="48"/>
  <c r="P493" i="118"/>
  <c r="Q493" i="118" s="1"/>
  <c r="L408" i="118"/>
  <c r="M408" i="118" s="1"/>
  <c r="L539" i="48"/>
  <c r="M539" i="48" s="1"/>
  <c r="L406" i="48"/>
  <c r="L541" i="118"/>
  <c r="M541" i="118" s="1"/>
  <c r="P541" i="118" s="1"/>
  <c r="Q541" i="118" s="1"/>
  <c r="M242" i="48"/>
  <c r="E58" i="86"/>
  <c r="E55" i="86"/>
  <c r="M32" i="48"/>
  <c r="P170" i="118"/>
  <c r="Q170" i="118" s="1"/>
  <c r="P201" i="118"/>
  <c r="Q201" i="118" s="1"/>
  <c r="P130" i="118"/>
  <c r="Q130" i="118" s="1"/>
  <c r="P157" i="118"/>
  <c r="Q157" i="118" s="1"/>
  <c r="Q58" i="118"/>
  <c r="L43" i="118"/>
  <c r="M43" i="118" s="1"/>
  <c r="L102" i="118"/>
  <c r="M102" i="118" s="1"/>
  <c r="L407" i="48"/>
  <c r="M407" i="48" s="1"/>
  <c r="L409" i="118"/>
  <c r="M409" i="118" s="1"/>
  <c r="L100" i="48"/>
  <c r="M100" i="48" s="1"/>
  <c r="L540" i="48"/>
  <c r="M540" i="48" s="1"/>
  <c r="L41" i="48"/>
  <c r="L542" i="118"/>
  <c r="M542" i="118" s="1"/>
  <c r="P542" i="118" s="1"/>
  <c r="Q542" i="118" s="1"/>
  <c r="P196" i="118"/>
  <c r="Q196" i="118" s="1"/>
  <c r="M387" i="48"/>
  <c r="E47" i="86"/>
  <c r="P525" i="118"/>
  <c r="Q525" i="118" s="1"/>
  <c r="P512" i="118"/>
  <c r="Q512" i="118" s="1"/>
  <c r="M141" i="48"/>
  <c r="E39" i="86"/>
  <c r="P34" i="118"/>
  <c r="P228" i="118"/>
  <c r="Q228" i="118" s="1"/>
  <c r="M128" i="48"/>
  <c r="E53" i="86"/>
  <c r="P243" i="118"/>
  <c r="Q243" i="118" s="1"/>
  <c r="P200" i="118"/>
  <c r="Q200" i="118" s="1"/>
  <c r="Q50" i="118"/>
  <c r="E64" i="86"/>
  <c r="M186" i="48"/>
  <c r="E48" i="86"/>
  <c r="M142" i="48"/>
  <c r="P144" i="118"/>
  <c r="Q144" i="118" s="1"/>
  <c r="P156" i="118"/>
  <c r="P214" i="118"/>
  <c r="Q214" i="118" s="1"/>
  <c r="P183" i="118"/>
  <c r="Q183" i="118" s="1"/>
  <c r="M185" i="48"/>
  <c r="E63" i="86"/>
  <c r="P402" i="118"/>
  <c r="Q402" i="118" s="1"/>
  <c r="P404" i="118"/>
  <c r="Q404" i="118" s="1"/>
  <c r="P244" i="118"/>
  <c r="Q244" i="118" s="1"/>
  <c r="P301" i="118"/>
  <c r="Q301" i="118" s="1"/>
  <c r="P348" i="118"/>
  <c r="M129" i="48"/>
  <c r="E54" i="86"/>
  <c r="P315" i="118"/>
  <c r="Q315" i="118" s="1"/>
  <c r="L132" i="48"/>
  <c r="L281" i="48"/>
  <c r="M281" i="48" s="1"/>
  <c r="L189" i="48"/>
  <c r="M189" i="48" s="1"/>
  <c r="L160" i="118"/>
  <c r="M160" i="118" s="1"/>
  <c r="L283" i="118"/>
  <c r="M283" i="118" s="1"/>
  <c r="P283" i="118" s="1"/>
  <c r="Q283" i="118" s="1"/>
  <c r="L158" i="48"/>
  <c r="M158" i="48" s="1"/>
  <c r="L191" i="118"/>
  <c r="M191" i="118" s="1"/>
  <c r="P191" i="118" s="1"/>
  <c r="Q191" i="118" s="1"/>
  <c r="L434" i="118"/>
  <c r="M434" i="118" s="1"/>
  <c r="P434" i="118" s="1"/>
  <c r="Q434" i="118" s="1"/>
  <c r="L432" i="48"/>
  <c r="M432" i="48" s="1"/>
  <c r="L566" i="118"/>
  <c r="M566" i="118" s="1"/>
  <c r="P566" i="118" s="1"/>
  <c r="Q566" i="118" s="1"/>
  <c r="L134" i="118"/>
  <c r="M134" i="118" s="1"/>
  <c r="P134" i="118" s="1"/>
  <c r="Q134" i="118" s="1"/>
  <c r="L245" i="48"/>
  <c r="M245" i="48" s="1"/>
  <c r="L351" i="48"/>
  <c r="M351" i="48" s="1"/>
  <c r="L247" i="118"/>
  <c r="M247" i="118" s="1"/>
  <c r="P247" i="118" s="1"/>
  <c r="Q247" i="118" s="1"/>
  <c r="L316" i="48"/>
  <c r="M316" i="48" s="1"/>
  <c r="L486" i="48"/>
  <c r="M486" i="48" s="1"/>
  <c r="L218" i="118"/>
  <c r="M218" i="118" s="1"/>
  <c r="P218" i="118" s="1"/>
  <c r="Q218" i="118" s="1"/>
  <c r="L318" i="118"/>
  <c r="M318" i="118" s="1"/>
  <c r="P318" i="118" s="1"/>
  <c r="Q318" i="118" s="1"/>
  <c r="L507" i="118"/>
  <c r="M507" i="118" s="1"/>
  <c r="L505" i="48"/>
  <c r="M505" i="48" s="1"/>
  <c r="L216" i="48"/>
  <c r="M216" i="48" s="1"/>
  <c r="L488" i="118"/>
  <c r="M488" i="118" s="1"/>
  <c r="L353" i="118"/>
  <c r="M353" i="118" s="1"/>
  <c r="L564" i="48"/>
  <c r="M564" i="48" s="1"/>
  <c r="E62" i="86"/>
  <c r="M419" i="48"/>
  <c r="P313" i="118"/>
  <c r="Q313" i="118" s="1"/>
  <c r="E21" i="86"/>
  <c r="M95" i="48"/>
  <c r="P279" i="118"/>
  <c r="Q279" i="118" s="1"/>
  <c r="H24" i="5" l="1"/>
  <c r="H23" i="5"/>
  <c r="N468" i="48"/>
  <c r="P121" i="118"/>
  <c r="N121" i="118"/>
  <c r="Q72" i="118"/>
  <c r="Q76" i="118" s="1"/>
  <c r="E68" i="86"/>
  <c r="N485" i="118"/>
  <c r="P485" i="118"/>
  <c r="Q118" i="118"/>
  <c r="Q117" i="118"/>
  <c r="N470" i="118"/>
  <c r="Q485" i="118"/>
  <c r="Q447" i="118"/>
  <c r="Q584" i="118"/>
  <c r="E72" i="86"/>
  <c r="N584" i="118"/>
  <c r="M119" i="48"/>
  <c r="M106" i="48"/>
  <c r="N396" i="118"/>
  <c r="L534" i="118"/>
  <c r="M534" i="118" s="1"/>
  <c r="P534" i="118" s="1"/>
  <c r="M42" i="48"/>
  <c r="E57" i="86"/>
  <c r="M105" i="48"/>
  <c r="N111" i="118"/>
  <c r="P107" i="118"/>
  <c r="L532" i="48"/>
  <c r="M532" i="48" s="1"/>
  <c r="L42" i="118"/>
  <c r="M42" i="118" s="1"/>
  <c r="P42" i="118" s="1"/>
  <c r="Q42" i="118" s="1"/>
  <c r="L399" i="48"/>
  <c r="M399" i="48" s="1"/>
  <c r="E124" i="86"/>
  <c r="M435" i="48"/>
  <c r="L93" i="118"/>
  <c r="M93" i="118" s="1"/>
  <c r="L401" i="118"/>
  <c r="M401" i="118" s="1"/>
  <c r="P401" i="118" s="1"/>
  <c r="L40" i="48"/>
  <c r="N589" i="48"/>
  <c r="M103" i="48"/>
  <c r="M54" i="48"/>
  <c r="J1856" i="102"/>
  <c r="D136" i="86" s="1"/>
  <c r="L79" i="118" s="1"/>
  <c r="M79" i="118" s="1"/>
  <c r="P79" i="118" s="1"/>
  <c r="P82" i="118" s="1"/>
  <c r="L113" i="118"/>
  <c r="M113" i="118" s="1"/>
  <c r="L111" i="48"/>
  <c r="P64" i="118"/>
  <c r="Q59" i="118"/>
  <c r="Q64" i="118" s="1"/>
  <c r="N64" i="118"/>
  <c r="N38" i="118"/>
  <c r="M34" i="48"/>
  <c r="M36" i="48" s="1"/>
  <c r="E18" i="86"/>
  <c r="P52" i="118"/>
  <c r="N56" i="118"/>
  <c r="M434" i="48"/>
  <c r="E79" i="86"/>
  <c r="E123" i="86"/>
  <c r="P70" i="118"/>
  <c r="P38" i="118"/>
  <c r="Q34" i="118"/>
  <c r="Q38" i="118" s="1"/>
  <c r="E78" i="86"/>
  <c r="E122" i="86"/>
  <c r="M488" i="48"/>
  <c r="P490" i="118"/>
  <c r="Q490" i="118" s="1"/>
  <c r="P509" i="118"/>
  <c r="Q509" i="118" s="1"/>
  <c r="M98" i="48"/>
  <c r="P507" i="118"/>
  <c r="N105" i="118"/>
  <c r="P102" i="118"/>
  <c r="P408" i="118"/>
  <c r="Q408" i="118" s="1"/>
  <c r="M394" i="48"/>
  <c r="E77" i="86"/>
  <c r="E121" i="86"/>
  <c r="M132" i="48"/>
  <c r="Q348" i="118"/>
  <c r="P43" i="118"/>
  <c r="Q156" i="118"/>
  <c r="P353" i="118"/>
  <c r="Q353" i="118" s="1"/>
  <c r="M41" i="48"/>
  <c r="E32" i="86"/>
  <c r="Q388" i="118"/>
  <c r="Q396" i="118" s="1"/>
  <c r="P396" i="118"/>
  <c r="P488" i="118"/>
  <c r="Q182" i="118"/>
  <c r="L284" i="118"/>
  <c r="M284" i="118" s="1"/>
  <c r="P284" i="118" s="1"/>
  <c r="Q284" i="118" s="1"/>
  <c r="Q306" i="118" s="1"/>
  <c r="L248" i="118"/>
  <c r="M248" i="118" s="1"/>
  <c r="L567" i="118"/>
  <c r="M567" i="118" s="1"/>
  <c r="L219" i="118"/>
  <c r="M219" i="118" s="1"/>
  <c r="N233" i="118" s="1"/>
  <c r="L508" i="118"/>
  <c r="M508" i="118" s="1"/>
  <c r="L192" i="118"/>
  <c r="M192" i="118" s="1"/>
  <c r="L135" i="118"/>
  <c r="M135" i="118" s="1"/>
  <c r="N149" i="118" s="1"/>
  <c r="L161" i="118"/>
  <c r="M161" i="118" s="1"/>
  <c r="N175" i="118" s="1"/>
  <c r="L319" i="118"/>
  <c r="M319" i="118" s="1"/>
  <c r="L354" i="118"/>
  <c r="M354" i="118" s="1"/>
  <c r="P354" i="118" s="1"/>
  <c r="Q354" i="118" s="1"/>
  <c r="L565" i="48"/>
  <c r="M565" i="48" s="1"/>
  <c r="L524" i="118"/>
  <c r="M524" i="118" s="1"/>
  <c r="L433" i="48"/>
  <c r="M433" i="48" s="1"/>
  <c r="L435" i="118"/>
  <c r="M435" i="118" s="1"/>
  <c r="L317" i="48"/>
  <c r="M317" i="48" s="1"/>
  <c r="M339" i="48" s="1"/>
  <c r="L489" i="118"/>
  <c r="M489" i="118" s="1"/>
  <c r="N504" i="118" s="1"/>
  <c r="L352" i="48"/>
  <c r="M352" i="48" s="1"/>
  <c r="M374" i="48" s="1"/>
  <c r="L487" i="48"/>
  <c r="M487" i="48" s="1"/>
  <c r="L282" i="48"/>
  <c r="M282" i="48" s="1"/>
  <c r="M304" i="48" s="1"/>
  <c r="L522" i="48"/>
  <c r="M522" i="48" s="1"/>
  <c r="M526" i="48" s="1"/>
  <c r="L506" i="48"/>
  <c r="M506" i="48" s="1"/>
  <c r="M520" i="48" s="1"/>
  <c r="L190" i="48"/>
  <c r="M190" i="48" s="1"/>
  <c r="M205" i="48" s="1"/>
  <c r="L217" i="48"/>
  <c r="M217" i="48" s="1"/>
  <c r="M231" i="48" s="1"/>
  <c r="L246" i="48"/>
  <c r="M246" i="48" s="1"/>
  <c r="M269" i="48" s="1"/>
  <c r="L133" i="48"/>
  <c r="L159" i="48"/>
  <c r="M159" i="48" s="1"/>
  <c r="M173" i="48" s="1"/>
  <c r="P160" i="118"/>
  <c r="Q160" i="118" s="1"/>
  <c r="P409" i="118"/>
  <c r="Q409" i="118" s="1"/>
  <c r="E31" i="86"/>
  <c r="M406" i="48"/>
  <c r="Q586" i="118"/>
  <c r="Q591" i="118" s="1"/>
  <c r="P470" i="118"/>
  <c r="Q465" i="118"/>
  <c r="Q470" i="118" s="1"/>
  <c r="Q121" i="118" l="1"/>
  <c r="M109" i="48"/>
  <c r="Q534" i="118"/>
  <c r="Q401" i="118"/>
  <c r="P111" i="118"/>
  <c r="Q107" i="118"/>
  <c r="Q111" i="118" s="1"/>
  <c r="M578" i="48"/>
  <c r="H28" i="5" s="1"/>
  <c r="N46" i="118"/>
  <c r="N47" i="118" s="1"/>
  <c r="N449" i="118"/>
  <c r="N450" i="118" s="1"/>
  <c r="P46" i="118"/>
  <c r="P47" i="118" s="1"/>
  <c r="P93" i="118"/>
  <c r="N100" i="118"/>
  <c r="M40" i="48"/>
  <c r="M44" i="48" s="1"/>
  <c r="E22" i="86"/>
  <c r="N82" i="118"/>
  <c r="N83" i="118" s="1"/>
  <c r="L77" i="48"/>
  <c r="E136" i="86" s="1"/>
  <c r="M111" i="48"/>
  <c r="M113" i="48" s="1"/>
  <c r="E82" i="86"/>
  <c r="E126" i="86"/>
  <c r="P113" i="118"/>
  <c r="P115" i="118" s="1"/>
  <c r="N115" i="118"/>
  <c r="Q52" i="118"/>
  <c r="Q56" i="118" s="1"/>
  <c r="P56" i="118"/>
  <c r="P83" i="118" s="1"/>
  <c r="M502" i="48"/>
  <c r="H25" i="5" s="1"/>
  <c r="M447" i="48"/>
  <c r="M448" i="48" s="1"/>
  <c r="P192" i="118"/>
  <c r="P207" i="118" s="1"/>
  <c r="N207" i="118"/>
  <c r="N234" i="118" s="1"/>
  <c r="P376" i="118"/>
  <c r="N520" i="48"/>
  <c r="H26" i="5"/>
  <c r="P508" i="118"/>
  <c r="Q508" i="118" s="1"/>
  <c r="Q522" i="118" s="1"/>
  <c r="Q376" i="118"/>
  <c r="Q102" i="118"/>
  <c r="Q105" i="118" s="1"/>
  <c r="P105" i="118"/>
  <c r="Q79" i="118"/>
  <c r="N526" i="48"/>
  <c r="H27" i="5"/>
  <c r="P524" i="118"/>
  <c r="P528" i="118" s="1"/>
  <c r="N528" i="118"/>
  <c r="P219" i="118"/>
  <c r="P233" i="118" s="1"/>
  <c r="M375" i="48"/>
  <c r="P248" i="118"/>
  <c r="Q248" i="118" s="1"/>
  <c r="N271" i="118"/>
  <c r="P567" i="118"/>
  <c r="N580" i="118"/>
  <c r="Q488" i="118"/>
  <c r="M133" i="48"/>
  <c r="M147" i="48" s="1"/>
  <c r="E83" i="86"/>
  <c r="E127" i="86"/>
  <c r="P319" i="118"/>
  <c r="P341" i="118" s="1"/>
  <c r="N341" i="118"/>
  <c r="N306" i="118"/>
  <c r="P306" i="118"/>
  <c r="P489" i="118"/>
  <c r="P504" i="118" s="1"/>
  <c r="P161" i="118"/>
  <c r="P175" i="118" s="1"/>
  <c r="Q43" i="118"/>
  <c r="Q46" i="118" s="1"/>
  <c r="N522" i="118"/>
  <c r="Q507" i="118"/>
  <c r="N376" i="118"/>
  <c r="P135" i="118"/>
  <c r="Q135" i="118" s="1"/>
  <c r="Q149" i="118" s="1"/>
  <c r="P435" i="118"/>
  <c r="P449" i="118" s="1"/>
  <c r="P450" i="118" s="1"/>
  <c r="J27" i="5" l="1"/>
  <c r="N578" i="48"/>
  <c r="N122" i="118"/>
  <c r="P100" i="118"/>
  <c r="P122" i="118" s="1"/>
  <c r="Q93" i="118"/>
  <c r="Q100" i="118" s="1"/>
  <c r="M45" i="48"/>
  <c r="N45" i="48" s="1"/>
  <c r="M120" i="48"/>
  <c r="N120" i="48" s="1"/>
  <c r="M77" i="48"/>
  <c r="M80" i="48" s="1"/>
  <c r="P522" i="118"/>
  <c r="Q219" i="118"/>
  <c r="Q233" i="118" s="1"/>
  <c r="Q113" i="118"/>
  <c r="Q115" i="118" s="1"/>
  <c r="N502" i="48"/>
  <c r="Q161" i="118"/>
  <c r="Q175" i="118" s="1"/>
  <c r="H22" i="5"/>
  <c r="N448" i="48"/>
  <c r="Q489" i="118"/>
  <c r="Q504" i="118" s="1"/>
  <c r="Q319" i="118"/>
  <c r="Q341" i="118" s="1"/>
  <c r="Q524" i="118"/>
  <c r="Q528" i="118" s="1"/>
  <c r="Q271" i="118"/>
  <c r="N377" i="118"/>
  <c r="M232" i="48"/>
  <c r="Q435" i="118"/>
  <c r="Q449" i="118" s="1"/>
  <c r="Q450" i="118" s="1"/>
  <c r="Q192" i="118"/>
  <c r="Q207" i="118" s="1"/>
  <c r="P271" i="118"/>
  <c r="P377" i="118" s="1"/>
  <c r="N375" i="48"/>
  <c r="H21" i="5"/>
  <c r="J21" i="5"/>
  <c r="P149" i="118"/>
  <c r="P234" i="118" s="1"/>
  <c r="Q567" i="118"/>
  <c r="Q580" i="118" s="1"/>
  <c r="P580" i="118"/>
  <c r="Q47" i="118"/>
  <c r="Q82" i="118"/>
  <c r="Q83" i="118" s="1"/>
  <c r="H17" i="5" l="1"/>
  <c r="N608" i="118"/>
  <c r="N609" i="118" s="1"/>
  <c r="Q122" i="118"/>
  <c r="S122" i="118" s="1"/>
  <c r="M81" i="48"/>
  <c r="H18" i="5" s="1"/>
  <c r="J19" i="5"/>
  <c r="H19" i="5"/>
  <c r="Q377" i="118"/>
  <c r="P608" i="118"/>
  <c r="Q234" i="118"/>
  <c r="H20" i="5"/>
  <c r="N232" i="48"/>
  <c r="J20" i="5"/>
  <c r="N81" i="48" l="1"/>
  <c r="N606" i="48" s="1"/>
  <c r="M606" i="48"/>
  <c r="J33" i="5" s="1"/>
  <c r="H33" i="5"/>
  <c r="H34" i="5" s="1"/>
  <c r="H35" i="5" s="1"/>
  <c r="H36" i="5" s="1"/>
  <c r="Q608" i="118"/>
  <c r="Q609" i="118" s="1"/>
  <c r="P609" i="118"/>
  <c r="R608" i="118" l="1"/>
  <c r="R609" i="118"/>
  <c r="C84" i="5"/>
  <c r="J37" i="5"/>
  <c r="U49" i="114" s="1"/>
  <c r="G25" i="116" l="1"/>
  <c r="U29" i="114"/>
  <c r="L36" i="5"/>
  <c r="U29" i="109"/>
  <c r="U49" i="109"/>
  <c r="O600" i="48"/>
  <c r="E146" i="5"/>
  <c r="C90" i="5"/>
  <c r="C110" i="5" l="1"/>
  <c r="C119" i="5"/>
  <c r="C101" i="5"/>
  <c r="C92" i="5"/>
  <c r="C146" i="5"/>
  <c r="C135" i="5"/>
  <c r="C111" i="5" l="1"/>
  <c r="C112" i="5" s="1"/>
  <c r="C113" i="5"/>
  <c r="D111" i="5" s="1"/>
  <c r="C114" i="5"/>
  <c r="C143" i="5"/>
  <c r="D142" i="5"/>
  <c r="C141" i="5"/>
  <c r="C136" i="5"/>
  <c r="C137" i="5" s="1"/>
  <c r="C138" i="5"/>
  <c r="D136" i="5" s="1"/>
  <c r="C96" i="5"/>
  <c r="C95" i="5"/>
  <c r="D93" i="5" s="1"/>
  <c r="C93" i="5"/>
  <c r="C94" i="5" s="1"/>
  <c r="C102" i="5"/>
  <c r="C103" i="5" s="1"/>
  <c r="C105" i="5"/>
  <c r="C104" i="5"/>
  <c r="D102" i="5" s="1"/>
  <c r="C120" i="5"/>
  <c r="C129" i="5" s="1"/>
  <c r="C130" i="5"/>
  <c r="D120" i="5" s="1"/>
  <c r="C131" i="5"/>
  <c r="D114" i="5" l="1"/>
  <c r="D105" i="5"/>
  <c r="D141" i="5"/>
  <c r="D96" i="5"/>
  <c r="D137" i="5"/>
  <c r="D138" i="5"/>
  <c r="C142" i="5" s="1"/>
  <c r="D130" i="5"/>
  <c r="C132" i="5" s="1"/>
  <c r="D132" i="5" s="1"/>
  <c r="C133" i="5" s="1"/>
  <c r="D129" i="5"/>
  <c r="D131" i="5"/>
  <c r="D112" i="5"/>
  <c r="D113" i="5"/>
  <c r="D103" i="5"/>
  <c r="D104" i="5"/>
  <c r="D95" i="5"/>
  <c r="C97" i="5" s="1"/>
  <c r="D97" i="5" s="1"/>
  <c r="C98" i="5" s="1"/>
  <c r="D94" i="5"/>
  <c r="C106" i="5" l="1"/>
  <c r="D106" i="5" s="1"/>
  <c r="C107" i="5" s="1"/>
  <c r="C115" i="5"/>
  <c r="D115" i="5" s="1"/>
  <c r="C116" i="5" s="1"/>
  <c r="C147" i="5" l="1"/>
  <c r="D147" i="5" s="1"/>
  <c r="C148" i="5" s="1"/>
  <c r="D146" i="5" s="1"/>
  <c r="C149" i="5" s="1"/>
  <c r="C86" i="5" s="1"/>
  <c r="E37" i="5" s="1"/>
</calcChain>
</file>

<file path=xl/sharedStrings.xml><?xml version="1.0" encoding="utf-8"?>
<sst xmlns="http://schemas.openxmlformats.org/spreadsheetml/2006/main" count="7727" uniqueCount="958">
  <si>
    <t>NO</t>
  </si>
  <si>
    <t>VOLUME</t>
  </si>
  <si>
    <t>I</t>
  </si>
  <si>
    <t>m'</t>
  </si>
  <si>
    <t>ANALISA</t>
  </si>
  <si>
    <t>DIBULATKAN</t>
  </si>
  <si>
    <t>JUMLAH HARGA</t>
  </si>
  <si>
    <t>URAIAN PEKERJAAN</t>
  </si>
  <si>
    <t>DAFTAR KUANTITAS DAN HARGA</t>
  </si>
  <si>
    <t>(1)</t>
  </si>
  <si>
    <t>(2)</t>
  </si>
  <si>
    <t>(3)</t>
  </si>
  <si>
    <t>(4)</t>
  </si>
  <si>
    <t>(5)</t>
  </si>
  <si>
    <t>(6)</t>
  </si>
  <si>
    <t>(7)</t>
  </si>
  <si>
    <t>II</t>
  </si>
  <si>
    <t>III</t>
  </si>
  <si>
    <t>IV</t>
  </si>
  <si>
    <t>V</t>
  </si>
  <si>
    <t>Ls</t>
  </si>
  <si>
    <t>M'</t>
  </si>
  <si>
    <t>Set</t>
  </si>
  <si>
    <t>Bh</t>
  </si>
  <si>
    <t>RINCIAN KEGIATAN DAN PEKERJAAN</t>
  </si>
  <si>
    <t>m3</t>
  </si>
  <si>
    <t>:</t>
  </si>
  <si>
    <t>Terjemahan kedalam kalimat</t>
  </si>
  <si>
    <t>&lt;=== Bahasa &lt;1&gt; Indonesia, &lt;2&gt; Inggris</t>
  </si>
  <si>
    <t xml:space="preserve">terbilang      = </t>
  </si>
  <si>
    <t>BASIC  =&gt;</t>
  </si>
  <si>
    <t>satu    dua     tiga    empat   lima    enam    tujuh   delapan sembilan sepuluh</t>
  </si>
  <si>
    <t>@</t>
  </si>
  <si>
    <t xml:space="preserve">       ribu   juta   milyar   triliyun     </t>
  </si>
  <si>
    <t xml:space="preserve"> @</t>
  </si>
  <si>
    <t xml:space="preserve"> basic  @</t>
  </si>
  <si>
    <t xml:space="preserve">  perhitungan @</t>
  </si>
  <si>
    <t>angka  @</t>
  </si>
  <si>
    <t>***</t>
  </si>
  <si>
    <t xml:space="preserve">Terbilang : </t>
  </si>
  <si>
    <t>SAT.</t>
  </si>
  <si>
    <t>m2</t>
  </si>
  <si>
    <t>RENCANA ANGGARAN BIAYA</t>
  </si>
  <si>
    <t>REKAPITULASI</t>
  </si>
  <si>
    <t>SUB TOTAL I</t>
  </si>
  <si>
    <t>SUB TOTAL II</t>
  </si>
  <si>
    <t>SUB TOTAL III</t>
  </si>
  <si>
    <t>HARGA SATUAN                ( RP )</t>
  </si>
  <si>
    <t>Volume</t>
  </si>
  <si>
    <t>x</t>
  </si>
  <si>
    <t>=</t>
  </si>
  <si>
    <t>Panjang</t>
  </si>
  <si>
    <t>Jumlah</t>
  </si>
  <si>
    <t>/</t>
  </si>
  <si>
    <t>VOL.</t>
  </si>
  <si>
    <t>SUB TOTAL IV</t>
  </si>
  <si>
    <t xml:space="preserve">PEKERJAAN PONDASI &amp; BETON </t>
  </si>
  <si>
    <t xml:space="preserve">PEKERJAAN DINDING &amp; PLESTERAN </t>
  </si>
  <si>
    <t xml:space="preserve">PEKERJAAN LANTAI &amp; KERAMIK </t>
  </si>
  <si>
    <t xml:space="preserve">PEKERJAAN PENGECATAN </t>
  </si>
  <si>
    <t xml:space="preserve">JUMLAH TOTAL </t>
  </si>
  <si>
    <t>Dibuat Oleh</t>
  </si>
  <si>
    <t>Unit</t>
  </si>
  <si>
    <t>kg/m</t>
  </si>
  <si>
    <t>kg</t>
  </si>
  <si>
    <t>PEKERJAAN TANAH</t>
  </si>
  <si>
    <t>PEKERJAAN ATAP</t>
  </si>
  <si>
    <t xml:space="preserve">PEKERJAAN PLAFOND </t>
  </si>
  <si>
    <t>URAIAN PERHITUNGAN</t>
  </si>
  <si>
    <t>Kg</t>
  </si>
  <si>
    <t>REKAP ANALISA HARGA SATUAN PEKERJAN</t>
  </si>
  <si>
    <t>PEKERJAAN</t>
  </si>
  <si>
    <t>HARGA SATUAN</t>
  </si>
  <si>
    <t>Taksir</t>
  </si>
  <si>
    <t>Stop Kontak</t>
  </si>
  <si>
    <t>No</t>
  </si>
  <si>
    <t>OH</t>
  </si>
  <si>
    <t>Pekerja</t>
  </si>
  <si>
    <t>Tukang Kayu</t>
  </si>
  <si>
    <t>Kepala Tukang</t>
  </si>
  <si>
    <t>Mandor</t>
  </si>
  <si>
    <t>M3</t>
  </si>
  <si>
    <t>Overhead &amp; Profit</t>
  </si>
  <si>
    <t>A.2.3.1.1.</t>
  </si>
  <si>
    <t>A.2.3.1.9.</t>
  </si>
  <si>
    <t>A.2.3.1.11.</t>
  </si>
  <si>
    <t>Tukang Batu</t>
  </si>
  <si>
    <t>Semen portland (PC)</t>
  </si>
  <si>
    <t>Pasir Pasang</t>
  </si>
  <si>
    <t>`</t>
  </si>
  <si>
    <t>Pasir Beton</t>
  </si>
  <si>
    <t>Kerikil</t>
  </si>
  <si>
    <t>Ltr</t>
  </si>
  <si>
    <t>Air</t>
  </si>
  <si>
    <t>A.4.1.1.36.</t>
  </si>
  <si>
    <t>Membuat 1 m’ ring balok beton bertulang (10 x 15) cm</t>
  </si>
  <si>
    <t>Tukang batu</t>
  </si>
  <si>
    <t>Tukang kayu</t>
  </si>
  <si>
    <t>Tukang besi</t>
  </si>
  <si>
    <t>Kepala tukang</t>
  </si>
  <si>
    <t>Liter</t>
  </si>
  <si>
    <t>Minyak bekisting</t>
  </si>
  <si>
    <t>Besi beton polos</t>
  </si>
  <si>
    <t>Kawat beton</t>
  </si>
  <si>
    <t>Kerikil Beton</t>
  </si>
  <si>
    <t>A.4.1.1.17.</t>
  </si>
  <si>
    <t>Tukang Besi</t>
  </si>
  <si>
    <t>Kawat Beton</t>
  </si>
  <si>
    <t>A.4.1.1.21.</t>
  </si>
  <si>
    <t>Minyak Bekisting</t>
  </si>
  <si>
    <t>Lbr</t>
  </si>
  <si>
    <t>Pasir pasang</t>
  </si>
  <si>
    <t>A.4.4.2.4.</t>
  </si>
  <si>
    <t>A.4.4.2.27.</t>
  </si>
  <si>
    <t>Pemasangan 1 m2 acian.</t>
  </si>
  <si>
    <t>A.4.5.1.7.</t>
  </si>
  <si>
    <t>Pemasangan 1 m2 langit-langit gypsum board ukuran (120x240x9) mm, tebal 9 mm</t>
  </si>
  <si>
    <t>Paku skrup</t>
  </si>
  <si>
    <t>A.4.5.1.7.A</t>
  </si>
  <si>
    <t>Pemasangan 1 m' List Profil Gypsum 4"</t>
  </si>
  <si>
    <t>List profil gypsum 4"</t>
  </si>
  <si>
    <t>Dempul</t>
  </si>
  <si>
    <t>A.4.5.2.40.</t>
  </si>
  <si>
    <t>Paku seng</t>
  </si>
  <si>
    <t>Semen Portland (PC)</t>
  </si>
  <si>
    <t>Plamir</t>
  </si>
  <si>
    <t>Tukang cat</t>
  </si>
  <si>
    <t>Cat menie</t>
  </si>
  <si>
    <t>Cat dasar</t>
  </si>
  <si>
    <t>Pengencer</t>
  </si>
  <si>
    <t>Ampelas</t>
  </si>
  <si>
    <t>Pasir beton</t>
  </si>
  <si>
    <t>Kayu Kelas III</t>
  </si>
  <si>
    <t>M2</t>
  </si>
  <si>
    <t>HARGA</t>
  </si>
  <si>
    <t>SATUAN</t>
  </si>
  <si>
    <t>Kayu kelas III</t>
  </si>
  <si>
    <t>Btg</t>
  </si>
  <si>
    <t>Plywood tebal 9 mm</t>
  </si>
  <si>
    <t>A.4.7.1.10.</t>
  </si>
  <si>
    <t>Uraian</t>
  </si>
  <si>
    <t>Kode</t>
  </si>
  <si>
    <t>Satuan</t>
  </si>
  <si>
    <t>Koefisien</t>
  </si>
  <si>
    <t>Harga Satuan
(Rp)</t>
  </si>
  <si>
    <t>Jumlah Harga
(Rp)</t>
  </si>
  <si>
    <t>A</t>
  </si>
  <si>
    <t>TENAGA</t>
  </si>
  <si>
    <t>L.01</t>
  </si>
  <si>
    <t>L.02</t>
  </si>
  <si>
    <t>L.03</t>
  </si>
  <si>
    <t>L.04</t>
  </si>
  <si>
    <t>JUMLAH TENAGA KERJA</t>
  </si>
  <si>
    <t>B</t>
  </si>
  <si>
    <t>BAHAN</t>
  </si>
  <si>
    <t>Papan kayu klas III</t>
  </si>
  <si>
    <t>JUMLAH HARGA BAHAN</t>
  </si>
  <si>
    <t>C</t>
  </si>
  <si>
    <t>PERALATAN</t>
  </si>
  <si>
    <t>JUMLAH HARGA ALAT</t>
  </si>
  <si>
    <t>D</t>
  </si>
  <si>
    <t>Jumlah (A+B+C)</t>
  </si>
  <si>
    <t>E</t>
  </si>
  <si>
    <t>F</t>
  </si>
  <si>
    <t>Harga Satuan Pekerjaan (D+E)</t>
  </si>
  <si>
    <t>Penggalian 1 m3  tanah biasa sedalam 1 m</t>
  </si>
  <si>
    <t>Pengurugan kembali 1 m3 galian tanah</t>
  </si>
  <si>
    <t>Pengurugan 1 m3 dengan pasir urug</t>
  </si>
  <si>
    <t>Pasir urug</t>
  </si>
  <si>
    <t>Pasir Beton /kg</t>
  </si>
  <si>
    <t>(Maks 30mm)</t>
  </si>
  <si>
    <t xml:space="preserve">JUMLAH TENAGA </t>
  </si>
  <si>
    <t>JUMLAH BAHAN</t>
  </si>
  <si>
    <t>JUMLAH TENAGA</t>
  </si>
  <si>
    <t>G</t>
  </si>
  <si>
    <t xml:space="preserve">Harga Satuan Pekerjaan u/ Pembesian 1 kg dengan besi polos </t>
  </si>
  <si>
    <t>Balok Kayu Kelas II</t>
  </si>
  <si>
    <t>Dolken Kayu Dia. 8-10/400 cm</t>
  </si>
  <si>
    <t>A.4.1.1.35.</t>
  </si>
  <si>
    <t>JUMLAH ALAT</t>
  </si>
  <si>
    <t>PEKERJAAN DINDING &amp; PLESTERAN</t>
  </si>
  <si>
    <t>Bata merah</t>
  </si>
  <si>
    <t>Pemasangan 1 m2 plesteran 1SP : 4PP tebal 15 mm</t>
  </si>
  <si>
    <t>TENAGA KERJA</t>
  </si>
  <si>
    <t>SUB JUMLAH ( A+B+C)</t>
  </si>
  <si>
    <t>Ktk</t>
  </si>
  <si>
    <t>Semen warna</t>
  </si>
  <si>
    <t>Pemasangan 1m2 lantai keramik ukuran 40cm x 40cm</t>
  </si>
  <si>
    <t>Keramik uk.40x40cm</t>
  </si>
  <si>
    <t>JUMLAH  BAHAN</t>
  </si>
  <si>
    <t>Pemasangan 1 m2 atap zyncalum #0,35</t>
  </si>
  <si>
    <t>L.11</t>
  </si>
  <si>
    <t>L.15</t>
  </si>
  <si>
    <t>Atap Zyncalum #0,35</t>
  </si>
  <si>
    <t>A.4.5.2.41.</t>
  </si>
  <si>
    <t>Pemasangan 1 m' Nok zyncalum #0,35</t>
  </si>
  <si>
    <t>Nok zyncalum #0,35</t>
  </si>
  <si>
    <t>Paku hak panjang 15cm</t>
  </si>
  <si>
    <t xml:space="preserve">Lembar </t>
  </si>
  <si>
    <t xml:space="preserve">kg </t>
  </si>
  <si>
    <t>Pengecatan 1 m2 bidang kayu baru (1 lapis plamuur, 1 lapis cat dasar, 2 lapis cat penutup)</t>
  </si>
  <si>
    <t>Cat minyak penutup</t>
  </si>
  <si>
    <t>Kuas 3"</t>
  </si>
  <si>
    <t>A.3.2.1.1.</t>
  </si>
  <si>
    <t>Membuat 1 m3 lantai kerja beton mutu f’c = 7,4 MPa slump (3-6)
cm, w/c = 0,87</t>
  </si>
  <si>
    <t xml:space="preserve">Pembesian 1 kg dengan besi polos Pembesian untuk 10 kg dengan besi polos </t>
  </si>
  <si>
    <t>A.4.4.1.9</t>
  </si>
  <si>
    <t>Pengecatan 1 m2 tembok baru (1 lapis plamuur, 1 lapis cat dasar, 2
lapis cat penutup)</t>
  </si>
  <si>
    <t>Gypsum board 9mm</t>
  </si>
  <si>
    <t>Paku 2"-5"</t>
  </si>
  <si>
    <t>A.2.3.1.10.</t>
  </si>
  <si>
    <t>Pengurugan 1 m3 dengan Tanah urug</t>
  </si>
  <si>
    <t>Tanah urug</t>
  </si>
  <si>
    <t>Tanah Urug</t>
  </si>
  <si>
    <t>Disetujui Oleh</t>
  </si>
  <si>
    <t>A.4.1.1.22</t>
  </si>
  <si>
    <t>A.4.6.1.1.</t>
  </si>
  <si>
    <t>Pembuatan dan pemasangan 1 m3 kusen pintu dan kusen jendela, kayu kelas I</t>
  </si>
  <si>
    <t>Paku 10 cm</t>
  </si>
  <si>
    <t>Lem kayu</t>
  </si>
  <si>
    <t>A.4.6.1.5.</t>
  </si>
  <si>
    <t>Pembuatan dan pemasangan 1 m2 daun pintu panel, kayu kelas I atau II</t>
  </si>
  <si>
    <t xml:space="preserve">PEKERJAAN KOZEN dan DAUN PINTU/JENDELA </t>
  </si>
  <si>
    <t>A.4.6.1.6.</t>
  </si>
  <si>
    <t>Pembuatan dan pemasangan 1 m2 pintu dan jendela kaca, kayu kelas I atau II</t>
  </si>
  <si>
    <t>Kaca Polos 5mm</t>
  </si>
  <si>
    <t>lebar</t>
  </si>
  <si>
    <t>Membuat 1 m’ kolom praktis beton bertulang (11 x 11) cm</t>
  </si>
  <si>
    <t>Balok Kayu Kelas I</t>
  </si>
  <si>
    <t>Balok kayu Kelas I</t>
  </si>
  <si>
    <t>Papan kayu klas II</t>
  </si>
  <si>
    <t>Batu kali</t>
  </si>
  <si>
    <t>Pemasangan 1 m3 pondasi batu kali campuran 1SP : 3PP</t>
  </si>
  <si>
    <t>Zak</t>
  </si>
  <si>
    <t>Cat penutup</t>
  </si>
  <si>
    <t>Semen portland (PC) 40kg</t>
  </si>
  <si>
    <t>Helm Safety</t>
  </si>
  <si>
    <t>unit</t>
  </si>
  <si>
    <t>Rompi Safety</t>
  </si>
  <si>
    <t>Sepatu AP Boots</t>
  </si>
  <si>
    <t>psg</t>
  </si>
  <si>
    <t>Sarung Tangan</t>
  </si>
  <si>
    <t>ANALISA HARGA SATUAN</t>
  </si>
  <si>
    <t>Beton Cor f’c = 14,5 Mpa</t>
  </si>
  <si>
    <t>Bekisting</t>
  </si>
  <si>
    <t>Berat Besi Ø</t>
  </si>
  <si>
    <t>Pejabat Pembuat Komitmen</t>
  </si>
  <si>
    <t>(PPK)</t>
  </si>
  <si>
    <t>PEKERJAAN PERSIAPAN</t>
  </si>
  <si>
    <t>Hit. SMK3</t>
  </si>
  <si>
    <t>5 set Peralatan K3 standar pekerja bangunan</t>
  </si>
  <si>
    <t>A. 2.2.1.4</t>
  </si>
  <si>
    <t>Balok Kayu Kelas III</t>
  </si>
  <si>
    <t>A.4.6.2.2</t>
  </si>
  <si>
    <t>Memasang 1 bh kunci tanam</t>
  </si>
  <si>
    <t>Kunci tanam</t>
  </si>
  <si>
    <t>A.4.6.2.5</t>
  </si>
  <si>
    <t>Memasang 1 bh engsel pintu 4"</t>
  </si>
  <si>
    <t>Engsel pintu 4"</t>
  </si>
  <si>
    <t>A.4.6.2.7</t>
  </si>
  <si>
    <t>Memasang 1 bh engsel jendela 3"</t>
  </si>
  <si>
    <t>Engsel jendela 3"</t>
  </si>
  <si>
    <t>A.4.6.2.9</t>
  </si>
  <si>
    <t>Memasang 1 bh kait angin jendela</t>
  </si>
  <si>
    <t>kait angin jendela</t>
  </si>
  <si>
    <t>A.4.6.2.10</t>
  </si>
  <si>
    <t>Memasang 1 bh gerendel pintu 4"</t>
  </si>
  <si>
    <t>Gerendel pintu 4"</t>
  </si>
  <si>
    <t>A.4.6.2.11</t>
  </si>
  <si>
    <t>Memasang 1 bh gerendel jendela 2"</t>
  </si>
  <si>
    <t>Gerendel jendela 2"</t>
  </si>
  <si>
    <t>A.4.6.2.12</t>
  </si>
  <si>
    <t>Hit. C 75 0,75</t>
  </si>
  <si>
    <t>Pemasangan 1 m2 Kuda-kuda Baja Ringan C.75 0,75</t>
  </si>
  <si>
    <t>Truss C. 75.t =0,75mm</t>
  </si>
  <si>
    <t>Topspan Truss Π. t=0,5 mm</t>
  </si>
  <si>
    <t>Dynabolt 12 x 199 mm</t>
  </si>
  <si>
    <t>Screw Truss 10-16 x 16</t>
  </si>
  <si>
    <t>Hit. PL. PVC</t>
  </si>
  <si>
    <t>Plafond PVC t-8mm</t>
  </si>
  <si>
    <t>Hit.  Lis. PVC</t>
  </si>
  <si>
    <t>Profil PVC</t>
  </si>
  <si>
    <t>Silikon</t>
  </si>
  <si>
    <t>Wastafel</t>
  </si>
  <si>
    <t>A.5.1.1 25.</t>
  </si>
  <si>
    <t>Pipa PVC 1/2''</t>
  </si>
  <si>
    <t>M</t>
  </si>
  <si>
    <t>Pipa PVC 2''</t>
  </si>
  <si>
    <t>Pipa PVC 3''</t>
  </si>
  <si>
    <t>PEKERJAAN ELEKTRIKAL</t>
  </si>
  <si>
    <t>Hit. EL.1</t>
  </si>
  <si>
    <t>Pasang 1 Titik Instalasi Penerangan dan Stop Kontak dengan Kabel NYA 2x2,5 mm</t>
  </si>
  <si>
    <t>Kabel NYM 3x2,5 mm</t>
  </si>
  <si>
    <t>Conduit</t>
  </si>
  <si>
    <t>Alat bantu</t>
  </si>
  <si>
    <t>Hit. EL.2</t>
  </si>
  <si>
    <t>Pasang 1 Set Stop Kontak</t>
  </si>
  <si>
    <t>Mangkok</t>
  </si>
  <si>
    <t>Cover</t>
  </si>
  <si>
    <t>Hit. EL.3</t>
  </si>
  <si>
    <t>Pasang 1 Set Saklar Tunggal</t>
  </si>
  <si>
    <t>Saklar</t>
  </si>
  <si>
    <t>Hit. EL.4</t>
  </si>
  <si>
    <t>Pasang 1 Set Saklar Ganda</t>
  </si>
  <si>
    <t>Hit. EL.5</t>
  </si>
  <si>
    <t>Pasang 1 Set Lampu Downlight</t>
  </si>
  <si>
    <t>Fitting Down Light 5"</t>
  </si>
  <si>
    <t>Lampu XL 26 Watt</t>
  </si>
  <si>
    <t>Hit. MCB</t>
  </si>
  <si>
    <t>Pasang 1 Unit MCB</t>
  </si>
  <si>
    <t>Box MCB</t>
  </si>
  <si>
    <t>MCB 10A</t>
  </si>
  <si>
    <t>Kabel NYA 2,5mm</t>
  </si>
  <si>
    <t>DAFTAR HARGA SATUAN UPAH DAN BAHAN</t>
  </si>
  <si>
    <t>URAIAN</t>
  </si>
  <si>
    <t>I. HARGA SATUAN UPAH</t>
  </si>
  <si>
    <t>II. HARGA SATUAN BAHAN</t>
  </si>
  <si>
    <t>TIMBUNAN / GALIAN</t>
  </si>
  <si>
    <t>BATU / BATU CETAKAN</t>
  </si>
  <si>
    <t>BAHAN PEREKAT</t>
  </si>
  <si>
    <t>BAHAN KAYU / LANGIT-LANGIT</t>
  </si>
  <si>
    <t>Btl</t>
  </si>
  <si>
    <t>PENUTUP LANTAI DAN DINDING</t>
  </si>
  <si>
    <t>PENUTUP ATAP</t>
  </si>
  <si>
    <t>BESI / ALUMUNIUM</t>
  </si>
  <si>
    <t>H</t>
  </si>
  <si>
    <t>KUNCI DAN KACA</t>
  </si>
  <si>
    <t>CAT / MINYAK</t>
  </si>
  <si>
    <t>J</t>
  </si>
  <si>
    <t>PIPA / SANITAIR</t>
  </si>
  <si>
    <t>K</t>
  </si>
  <si>
    <t>LISTRIK / AKSESORIS</t>
  </si>
  <si>
    <t>SMK3</t>
  </si>
  <si>
    <t>A.4.1.1.4</t>
  </si>
  <si>
    <t>(RAB)</t>
  </si>
  <si>
    <t>(APBD)</t>
  </si>
  <si>
    <t>Anggaran Pendapatan dan Belanja Daerah</t>
  </si>
  <si>
    <r>
      <t>m</t>
    </r>
    <r>
      <rPr>
        <vertAlign val="superscript"/>
        <sz val="12"/>
        <rFont val="Arial Narrow"/>
        <family val="2"/>
      </rPr>
      <t>3</t>
    </r>
  </si>
  <si>
    <r>
      <t>m</t>
    </r>
    <r>
      <rPr>
        <vertAlign val="superscript"/>
        <sz val="11"/>
        <rFont val="Arial Narrow"/>
        <family val="2"/>
      </rPr>
      <t>3</t>
    </r>
  </si>
  <si>
    <r>
      <t>A.4.7.1.</t>
    </r>
    <r>
      <rPr>
        <b/>
        <sz val="12"/>
        <rFont val="Arial Narrow"/>
        <family val="2"/>
      </rPr>
      <t>4.</t>
    </r>
  </si>
  <si>
    <t>JUMLAH</t>
  </si>
  <si>
    <t>PPN 11%</t>
  </si>
  <si>
    <t>TOTAL</t>
  </si>
  <si>
    <t>Direktur</t>
  </si>
  <si>
    <t>JUMLAH HARGA                   ( RP )</t>
  </si>
  <si>
    <t>btl</t>
  </si>
  <si>
    <t>Diketahui Oleh</t>
  </si>
  <si>
    <t>Bongkaran Paving Lama</t>
  </si>
  <si>
    <t>APBD 2024</t>
  </si>
  <si>
    <t>PEKERJAAN PENDAHULUAN</t>
  </si>
  <si>
    <t>PEKERJAAN PAVING SELASAR KELILING</t>
  </si>
  <si>
    <t>PEKERJAAN PAVING</t>
  </si>
  <si>
    <t>PEKERJAAN AREA PARKIR BASEMENT</t>
  </si>
  <si>
    <t>PEKERJAAN INSTALASI LISTRIK</t>
  </si>
  <si>
    <t>JUMLAH - B</t>
  </si>
  <si>
    <t>JUMLAH - C</t>
  </si>
  <si>
    <t>PEKERJAAN KAMAR MANDI LANTAI 1</t>
  </si>
  <si>
    <t>PEKERJAAN SANITAIR &amp; PLUMBING</t>
  </si>
  <si>
    <t>JUMLAH - D</t>
  </si>
  <si>
    <t>JUMLAH - E</t>
  </si>
  <si>
    <t>PEKERJAAN KAMAR MANDI LANTAI 2</t>
  </si>
  <si>
    <t>JUMLAH - A</t>
  </si>
  <si>
    <t>SUB TOTAL V</t>
  </si>
  <si>
    <t>JUMLAH - G</t>
  </si>
  <si>
    <t>JUMLAH - H</t>
  </si>
  <si>
    <t>Plesteran 1:4</t>
  </si>
  <si>
    <t>Pasir Urug</t>
  </si>
  <si>
    <t>Beton Pengunci Beton Cor f’c = 7,4 Mpa</t>
  </si>
  <si>
    <t>PEKERJAAN KAMAR MANDI - A</t>
  </si>
  <si>
    <t>PEKERJAAN KAMAR MANDI - B</t>
  </si>
  <si>
    <t>PEKERJAAN KAMAR MANDI - C</t>
  </si>
  <si>
    <t>PEKERJAAN KAMAR MANDI - D</t>
  </si>
  <si>
    <t>Kanstin Pas. Bata 1:4</t>
  </si>
  <si>
    <t>Beton Penahan Roda</t>
  </si>
  <si>
    <t>Pembersihan Dinding, Kolom &amp; Balok</t>
  </si>
  <si>
    <t>Jalan Williem Iskandar Medan</t>
  </si>
  <si>
    <t>Dinas Kepemudaan dan Keolahragaan Provinsi Sumatera Utara</t>
  </si>
  <si>
    <t>PEMELIHARAAN GEDUNG SERBA GUNA</t>
  </si>
  <si>
    <t>Nama Kegiatan:</t>
  </si>
  <si>
    <t>Nama Pekerjaan:</t>
  </si>
  <si>
    <t>JASA KONSULTANSI PERENCANAAN PEMELIHARAAN GEDUNG SERBA GUNA</t>
  </si>
  <si>
    <t>Lokasi Pekerjaan :</t>
  </si>
  <si>
    <t>Tahun Anggaran 2024</t>
  </si>
  <si>
    <t>RENCANA  ANGGARAN  BIAYA</t>
  </si>
  <si>
    <t xml:space="preserve">   NAMA KEGIATAN</t>
  </si>
  <si>
    <t xml:space="preserve">   NAMA PEKERJAAN</t>
  </si>
  <si>
    <t xml:space="preserve">   INSTANSI</t>
  </si>
  <si>
    <t xml:space="preserve">   SUMBER DANA</t>
  </si>
  <si>
    <t xml:space="preserve">   LOKASI PEKERJAAN</t>
  </si>
  <si>
    <t>BACK UP DATA - VOLUME</t>
  </si>
  <si>
    <t>Panjang Kansteen</t>
  </si>
  <si>
    <t>Luas Galian</t>
  </si>
  <si>
    <t>dalam</t>
  </si>
  <si>
    <t>Galian Tanah Kanstin</t>
  </si>
  <si>
    <t>Jumlah Beton Penahan Roda</t>
  </si>
  <si>
    <t>Pembesian Vertical Ø10 - 150mm</t>
  </si>
  <si>
    <t xml:space="preserve">Pembesian Horizontal Ø10 </t>
  </si>
  <si>
    <t>Panjang Beton</t>
  </si>
  <si>
    <t>Panjang Besi</t>
  </si>
  <si>
    <t>Panjang 1 Buah Besi Pengait</t>
  </si>
  <si>
    <t>PEKERJAAN LANTAI</t>
  </si>
  <si>
    <t>Armature lampu TKO V LED 2 x 16 Watt</t>
  </si>
  <si>
    <t>Pekerjaan Sisip Plasteran Dinding 1:4</t>
  </si>
  <si>
    <t>Pekerjaan Sisip Acian kolom</t>
  </si>
  <si>
    <t>VI</t>
  </si>
  <si>
    <t>Berat Wiremash M8 / M2</t>
  </si>
  <si>
    <t>Akses Masuk &amp; Keluar</t>
  </si>
  <si>
    <t>cat dinding</t>
  </si>
  <si>
    <t>panjang</t>
  </si>
  <si>
    <t>tinggi</t>
  </si>
  <si>
    <t>Kolom</t>
  </si>
  <si>
    <t>Jumlah kolom</t>
  </si>
  <si>
    <t>+</t>
  </si>
  <si>
    <t>Parkir Sepeda Motor</t>
  </si>
  <si>
    <t>Luasan Cat</t>
  </si>
  <si>
    <t>Pekerjaan Pembersihan</t>
  </si>
  <si>
    <t>Kran Air Stainless 1/2"</t>
  </si>
  <si>
    <t>Pipa Air Bersih PVC Dia. 15 mm (1/2")</t>
  </si>
  <si>
    <t>Floordrain</t>
  </si>
  <si>
    <t xml:space="preserve">PEKERJAAN PINTU </t>
  </si>
  <si>
    <t xml:space="preserve">Sisip Lantai Keramik </t>
  </si>
  <si>
    <t xml:space="preserve">Sisip Keramik Dinding </t>
  </si>
  <si>
    <t>PEKERJAAN PENGECATAN</t>
  </si>
  <si>
    <t>Typikal</t>
  </si>
  <si>
    <t>PEKERJAAN PLAFOND</t>
  </si>
  <si>
    <t>Rangka Plafond Metal Furing</t>
  </si>
  <si>
    <t>Plafond Gypsum 9mm</t>
  </si>
  <si>
    <t>List Profil Gypsum</t>
  </si>
  <si>
    <t>Area</t>
  </si>
  <si>
    <t>Harga Satuan</t>
  </si>
  <si>
    <t>Paving Block t=6cm</t>
  </si>
  <si>
    <t>A.4.4.1.1</t>
  </si>
  <si>
    <t>Pemasangan 1 m2 Paving block Tebal = 6cm</t>
  </si>
  <si>
    <t>A.4.1.1.8.</t>
  </si>
  <si>
    <t>Membuat 1 m3 beton mutu f’c = 26,4 Mpa (K300)</t>
  </si>
  <si>
    <t>A.4.1.1.9.</t>
  </si>
  <si>
    <t>Membuat 1 m3 beton mutu f’c = 20,7 Mpa (K250)</t>
  </si>
  <si>
    <t>A.4.1.1.10.</t>
  </si>
  <si>
    <t>Membuat 1 m3 beton mutu f’c = 14,5 Mpa (K175)</t>
  </si>
  <si>
    <t>A.4.1.1.11.</t>
  </si>
  <si>
    <t>Membuat 1 m3 beton mutu f’c = 19,4 Mpa (K225)</t>
  </si>
  <si>
    <t>A.4.1.1.19.</t>
  </si>
  <si>
    <t>Pembesian 1 kg dengan jaring kawat baja (wiremesh)</t>
  </si>
  <si>
    <t>Wiremesh m8</t>
  </si>
  <si>
    <t>Acian Lantai (Screed Lantai Beton sistem trowel)</t>
  </si>
  <si>
    <t>Pengecatan Plafond</t>
  </si>
  <si>
    <t>Bobot</t>
  </si>
  <si>
    <t>Tinggi</t>
  </si>
  <si>
    <t>Tutup Kontrol Besi</t>
  </si>
  <si>
    <t>Bak Kontrol Tipe 1</t>
  </si>
  <si>
    <t>Galian Tanah</t>
  </si>
  <si>
    <t>PEKERJAAN BAK KONTROL</t>
  </si>
  <si>
    <t>Acian Dinding</t>
  </si>
  <si>
    <t>PEKERJAAN DRANASE</t>
  </si>
  <si>
    <t>PEKERJAAN KANSTIN</t>
  </si>
  <si>
    <t>Timbunan Tanah Peninggian Elevasi Paving</t>
  </si>
  <si>
    <t>Canstin</t>
  </si>
  <si>
    <t>Paving</t>
  </si>
  <si>
    <t xml:space="preserve">Panjang Saluran </t>
  </si>
  <si>
    <t>Lebar</t>
  </si>
  <si>
    <t>JUMLAH - I</t>
  </si>
  <si>
    <t>PEKERJAAN DINDING PARTISI</t>
  </si>
  <si>
    <t>Pas. Plafond PVC</t>
  </si>
  <si>
    <t>List Profil PVC</t>
  </si>
  <si>
    <t>Pas. Rangka Dinding Baja Ringan</t>
  </si>
  <si>
    <t>PEMBUATAN KAMAR MANDI</t>
  </si>
  <si>
    <t>PEKERJAAN PONDASI &amp; BETON</t>
  </si>
  <si>
    <t>PEKERJAAN SANITAIR</t>
  </si>
  <si>
    <t>Pas, Dinding 1/2 Bata 1:4</t>
  </si>
  <si>
    <t>Balok Sloof 15/20</t>
  </si>
  <si>
    <t>Urinoir</t>
  </si>
  <si>
    <t>Tempat Sabun</t>
  </si>
  <si>
    <t>Shower Closed</t>
  </si>
  <si>
    <t>Stop Kran 1/2"</t>
  </si>
  <si>
    <t>Wastafel Komplit</t>
  </si>
  <si>
    <t>Closed Duduk Komplit</t>
  </si>
  <si>
    <t>Pipa 1/2"</t>
  </si>
  <si>
    <t>Pipa 1"</t>
  </si>
  <si>
    <t>Pipa 2"</t>
  </si>
  <si>
    <t>Bak Kontrol</t>
  </si>
  <si>
    <t>Pas. Dinding Partisi Gypsumboard</t>
  </si>
  <si>
    <t>Waterprofing Lantai</t>
  </si>
  <si>
    <t>PEKERJAAN REHAB RUANG SARANA PRASARANA</t>
  </si>
  <si>
    <t>PEKERJAAN SISIP PLAFOND</t>
  </si>
  <si>
    <t>PEKERJAAN REHAB RUANG VIP</t>
  </si>
  <si>
    <t>Pas. Wall Paper</t>
  </si>
  <si>
    <t>PEKERJAAN PINTU &amp; JENDELA</t>
  </si>
  <si>
    <t xml:space="preserve">Kunci Tanam </t>
  </si>
  <si>
    <t>Engsel Jendela Aluminium</t>
  </si>
  <si>
    <t>Sisip Plafond Gypsum</t>
  </si>
  <si>
    <t>PEKERJAAN REHAB LOBBY VIP</t>
  </si>
  <si>
    <t>PEKERJAAN INSTALASI TITIK LAMPU</t>
  </si>
  <si>
    <t>PEKERJAAN REHAB RUANG CETAK BOLA</t>
  </si>
  <si>
    <t>Sisip Plafond PVC</t>
  </si>
  <si>
    <t>PEKERJAAN REHAB RUANG KORMI</t>
  </si>
  <si>
    <t>PEKERJAAN REHAB LOBBY SAMPING</t>
  </si>
  <si>
    <t>Kunci Tanam Pintu Tempered</t>
  </si>
  <si>
    <t>Kunci Tanam Pintu Kayu</t>
  </si>
  <si>
    <t>PEKERJAAN ATAP &amp; PLAFOND</t>
  </si>
  <si>
    <t>PEKERJAAN REHAB RUANG PDBI</t>
  </si>
  <si>
    <t>Handle Pintu</t>
  </si>
  <si>
    <t>L</t>
  </si>
  <si>
    <t>N</t>
  </si>
  <si>
    <t>JUMLAH - F</t>
  </si>
  <si>
    <t>JUMLAH - J</t>
  </si>
  <si>
    <t>JUMLAH - K</t>
  </si>
  <si>
    <t>JUMLAH - L</t>
  </si>
  <si>
    <t>JUMLAH - M</t>
  </si>
  <si>
    <t>JUMLAH - N</t>
  </si>
  <si>
    <t>PEKERJAAN PINTU</t>
  </si>
  <si>
    <t>Listplank Motif Melayu 60cm</t>
  </si>
  <si>
    <t>Listplank Motif Melayu 30cm</t>
  </si>
  <si>
    <t>Medan , 16 Februari 2024</t>
  </si>
  <si>
    <t>Toilet Pria</t>
  </si>
  <si>
    <t>KM. Kecil</t>
  </si>
  <si>
    <t>KM. besar</t>
  </si>
  <si>
    <t>Toilet Wanita</t>
  </si>
  <si>
    <t>Push Kran Urinoir</t>
  </si>
  <si>
    <t>Pengukuran dan pemasangan 1 m' Bowplank</t>
  </si>
  <si>
    <t xml:space="preserve">Pemasangan 1 m2 langit-langit Pvc t 8mm </t>
  </si>
  <si>
    <t>Full Body Harness</t>
  </si>
  <si>
    <t>Perancah</t>
  </si>
  <si>
    <t>PERHITUNGAN BIAYA PENYELENGGARAAN KEAMANAN DAN KESEHATAN KERJA SERTA KESELAMATAN KONSTRUKSI BIDANG PEKERJAAN UMUM</t>
  </si>
  <si>
    <t>SAT</t>
  </si>
  <si>
    <t xml:space="preserve">JUMLAH HARGA   </t>
  </si>
  <si>
    <t>KETERANGAN</t>
  </si>
  <si>
    <t>PENYIAPAN RK3 terdiri atas</t>
  </si>
  <si>
    <t>a</t>
  </si>
  <si>
    <t>Pembuatan prosedur dan instruksi kerja</t>
  </si>
  <si>
    <t>b</t>
  </si>
  <si>
    <t>Penyiapan formulir</t>
  </si>
  <si>
    <t>Sosialisasi, Promosi dan Pelatihan</t>
  </si>
  <si>
    <t>Spanduk (banner)</t>
  </si>
  <si>
    <t>lbr</t>
  </si>
  <si>
    <t>Alat Pelindung Kerja Dan Alat Pelindung Diri</t>
  </si>
  <si>
    <t>Alat Pelindung Kerja Terdiri Dari :</t>
  </si>
  <si>
    <t>Alat Pelindung Diri Terdiri Dari :</t>
  </si>
  <si>
    <t>Topi Pelindung (Safety Helmet)</t>
  </si>
  <si>
    <t>Face Shield</t>
  </si>
  <si>
    <t>Masker debu Respirator</t>
  </si>
  <si>
    <t>Masker kain</t>
  </si>
  <si>
    <t>bh</t>
  </si>
  <si>
    <t>Sarung Tangan (Safety Gloves)</t>
  </si>
  <si>
    <t>Psg</t>
  </si>
  <si>
    <t>Sepatu Keselamatan (Safety Shoes)</t>
  </si>
  <si>
    <t>Penunjang Seluruh Tubuh (Full Body Harness)</t>
  </si>
  <si>
    <t>Rompi Keselamatan (Safety Vest)</t>
  </si>
  <si>
    <t>Jaring Pengaman (Safety Net)</t>
  </si>
  <si>
    <t>Asuransi dan perizinan Terdiri Atas :</t>
  </si>
  <si>
    <t>Asuransi</t>
  </si>
  <si>
    <t>Personil K3 Terdiri Atas</t>
  </si>
  <si>
    <t>Ahli muda K3</t>
  </si>
  <si>
    <t>Org</t>
  </si>
  <si>
    <t>Fasilitas, sarana dan prasarana kesehatan</t>
  </si>
  <si>
    <t>Peralatan P3K</t>
  </si>
  <si>
    <t>Hand sanitaizer dan Alat Pengukur Suhu</t>
  </si>
  <si>
    <t>Lain- Lain Terkait Pengendalian Risiko Keselamatan Konstruksi:</t>
  </si>
  <si>
    <t>c</t>
  </si>
  <si>
    <t>Tempat Cuci Tangan</t>
  </si>
  <si>
    <t>SUB TOTAL VI</t>
  </si>
  <si>
    <t>VII</t>
  </si>
  <si>
    <t>Rambu rambu terdiri atas</t>
  </si>
  <si>
    <t>Rambu petunjuk</t>
  </si>
  <si>
    <t>Rambu larangan</t>
  </si>
  <si>
    <t>Rambu informasi</t>
  </si>
  <si>
    <t>d</t>
  </si>
  <si>
    <t>Jalur Evakuasi (Escape Route)</t>
  </si>
  <si>
    <t>SUB TOTAL VII</t>
  </si>
  <si>
    <t>VIII</t>
  </si>
  <si>
    <t>Konsultasi Dengan ahli terkait keselamatan konstruksi</t>
  </si>
  <si>
    <t>Konsultasi dengan Ahli Madya K3</t>
  </si>
  <si>
    <t>SUB TOTAL VIII</t>
  </si>
  <si>
    <t>IX</t>
  </si>
  <si>
    <t>Lain lain terkait K3 pada konstruksi</t>
  </si>
  <si>
    <t>Bendera K3</t>
  </si>
  <si>
    <t>SUB TOTAL IX</t>
  </si>
  <si>
    <t>X</t>
  </si>
  <si>
    <t>Alat Pemadam Api Ringan (APAR)</t>
  </si>
  <si>
    <t>Pelaporan dan Penyelidikan Insiden</t>
  </si>
  <si>
    <t>Pembuatan Kartu Identitas Pekerja (KIP)</t>
  </si>
  <si>
    <t>Lb</t>
  </si>
  <si>
    <t>PEKERJAAN AREA LANSCAPE</t>
  </si>
  <si>
    <t>PEKERJAAN TUGU</t>
  </si>
  <si>
    <t>PROVINSI SUMATERA UTARA</t>
  </si>
  <si>
    <t>PEKERJAAN TAMAN AREA LOBBY VIP</t>
  </si>
  <si>
    <t xml:space="preserve">PEKERJAAN ATAP </t>
  </si>
  <si>
    <t>PEKERJAAN KORIDOR &amp; TRIBUN</t>
  </si>
  <si>
    <t>Tanaman bunga pucuk pisang</t>
  </si>
  <si>
    <t xml:space="preserve">Tanaman Lili Paris </t>
  </si>
  <si>
    <t>Rumput Gajah Mini</t>
  </si>
  <si>
    <t>O</t>
  </si>
  <si>
    <t>P</t>
  </si>
  <si>
    <t>JUMLAH - O</t>
  </si>
  <si>
    <t>JUMLAH - P</t>
  </si>
  <si>
    <t>A.4.4.3.63.</t>
  </si>
  <si>
    <t>Pemasangan 1 m2 Paving Block (Blok Beton) Natural tebal 6cm</t>
  </si>
  <si>
    <t>Anl.B.60</t>
  </si>
  <si>
    <t>Buis Beton O dia. 60cm</t>
  </si>
  <si>
    <t>Pengecatan 1 m2 permukaan lantai dengan Epoxy 500 micron</t>
  </si>
  <si>
    <t>Cat Epoxy</t>
  </si>
  <si>
    <t>Epoxy Primer/Layer</t>
  </si>
  <si>
    <t>Hardener</t>
  </si>
  <si>
    <t>Minyak u/Epoxy(Epoxy Thinner)</t>
  </si>
  <si>
    <t>Alat Bantu (Roll,Amplas, dll)</t>
  </si>
  <si>
    <t>Lot</t>
  </si>
  <si>
    <t>Pemasangan 1 m2 Acian /Screed Perbaikan Permukaan Beton</t>
  </si>
  <si>
    <t xml:space="preserve">Pemasangan 1 m' List plafond PVC </t>
  </si>
  <si>
    <t>Hit. EL.6</t>
  </si>
  <si>
    <t>Armature TKO V  LED 2 x 16 watt</t>
  </si>
  <si>
    <t>Bola lampu 1 x 16 watt</t>
  </si>
  <si>
    <t>Pasang 1 Set Armature TKO V  LED 2 x 16 watt</t>
  </si>
  <si>
    <t>A.4.7.1.11.</t>
  </si>
  <si>
    <t>Pengecatan 1 m2 Tembok Lama (1 Lapis Cat Dasar, 2 Lapis Cat 
Penutup) 
lapis cat penutup)</t>
  </si>
  <si>
    <t>Hit. EL.7</t>
  </si>
  <si>
    <t>Perlengkapan</t>
  </si>
  <si>
    <t>%</t>
  </si>
  <si>
    <t>Pemasangan 1 buah floor drain</t>
  </si>
  <si>
    <t>floor drain</t>
  </si>
  <si>
    <t>A.4.4.3.33.A</t>
  </si>
  <si>
    <t>Pemasangan 1m2 lantai granite ukuran 60cm x 60cm</t>
  </si>
  <si>
    <t xml:space="preserve">Granite Tile 60x60 </t>
  </si>
  <si>
    <t>Anl. WP-1</t>
  </si>
  <si>
    <t>Liquid Waterproofing polymer acrylic</t>
  </si>
  <si>
    <t>Pemasangan 1 m2 waterproofing onducoat PA 
campuran 1SP :4PP</t>
  </si>
  <si>
    <t>3.3.19.(c)</t>
  </si>
  <si>
    <t>Pengecatan 1 m2 Permukaan Baja Galvanis secara Semprot sistem 3 
lapis Cat Terakhir</t>
  </si>
  <si>
    <t>3.3.17.(c)</t>
  </si>
  <si>
    <t>Pengecatan 1 m2 Permukaan Baja Galvanis secara Manual sistem 1 
Lapis Cat Penutup
 lapis Cat Terakhir</t>
  </si>
  <si>
    <t>Pipa Air Bersih PVC Dia. 1/2"</t>
  </si>
  <si>
    <t>Pipa Air Bersih PVC Dia. 3/4"</t>
  </si>
  <si>
    <t>Pipa Air Bersih PVC Dia. 1"</t>
  </si>
  <si>
    <t>Pipa Air Bersih PVC Dia. 1,5"</t>
  </si>
  <si>
    <t>Pipa Air Bersih PVC Dia. 2"</t>
  </si>
  <si>
    <t>Pipa Air Bersih PVC Dia. 3"</t>
  </si>
  <si>
    <t>PEKERJAAN INSTALASI PLUMBING</t>
  </si>
  <si>
    <t>Elbow Dia. 1/2"</t>
  </si>
  <si>
    <t>Elbow Dia. 3/4"</t>
  </si>
  <si>
    <t>Elbow Dia. 1"</t>
  </si>
  <si>
    <t>Elbow Dia. 1,5"</t>
  </si>
  <si>
    <t>Elbow Dia. 2"</t>
  </si>
  <si>
    <t>Elbow Dia. 3"</t>
  </si>
  <si>
    <t>Head Drain Urinoir</t>
  </si>
  <si>
    <t>TEE Dia. 1/2"</t>
  </si>
  <si>
    <t>TEE Dia. 3/4"</t>
  </si>
  <si>
    <t>TEE Dia. 1"</t>
  </si>
  <si>
    <t>TEE Dia. 1,5"</t>
  </si>
  <si>
    <t>TEE Dia. 2"</t>
  </si>
  <si>
    <t>TEE Dia. 3"</t>
  </si>
  <si>
    <t>PEKERJAAN DINDING BATA &amp; KERAMIK</t>
  </si>
  <si>
    <t>Plafond PVC (Toilet)</t>
  </si>
  <si>
    <t>Hit. DRN.01</t>
  </si>
  <si>
    <t>Hit. DRN.02</t>
  </si>
  <si>
    <t>Hit. DRN.03</t>
  </si>
  <si>
    <t>Hit. DRN.04</t>
  </si>
  <si>
    <t>Membuat 1 Unit Bak Kontrol Tipe 1</t>
  </si>
  <si>
    <t>ANALISA HITUNG</t>
  </si>
  <si>
    <t>Hit. BKR. 01</t>
  </si>
  <si>
    <t>Hit. ELB. 1/2</t>
  </si>
  <si>
    <t>Hit. BKR.01</t>
  </si>
  <si>
    <t>Hit. PT.01</t>
  </si>
  <si>
    <t>Hit. PT.02</t>
  </si>
  <si>
    <t>Hit. PLF.01</t>
  </si>
  <si>
    <t>Hit. ELB.3/4</t>
  </si>
  <si>
    <t>Hit. ELB.1</t>
  </si>
  <si>
    <t>Hit. ELB.1,5</t>
  </si>
  <si>
    <t>Hit. ELB.2</t>
  </si>
  <si>
    <t>Hit. ELB.3</t>
  </si>
  <si>
    <t>Hit. TEE.1/2</t>
  </si>
  <si>
    <t>Hit. TEE.3/4</t>
  </si>
  <si>
    <t>Hit. TEE.1</t>
  </si>
  <si>
    <t>Hit. TEE.1,5</t>
  </si>
  <si>
    <t>Hit. TEE.2</t>
  </si>
  <si>
    <t>Hit. TEE.3</t>
  </si>
  <si>
    <t>Hit. DNG.01</t>
  </si>
  <si>
    <t>Hit. DNG.02</t>
  </si>
  <si>
    <t>Hit. PLF.02</t>
  </si>
  <si>
    <t>Hit. PLF.03</t>
  </si>
  <si>
    <t>Hit. LT.01</t>
  </si>
  <si>
    <t>Hit. TG.01</t>
  </si>
  <si>
    <t>Membuat 1 Unit Bak Kontrol Tipe 2</t>
  </si>
  <si>
    <t>Membuat 1 Unit Tutup Kontrol Beton</t>
  </si>
  <si>
    <t>Membuat 1 Unit Tutup Kontrol Besi</t>
  </si>
  <si>
    <t>Huruf</t>
  </si>
  <si>
    <t>Pintu Kaca UPVC Uk 2x80x210 cm</t>
  </si>
  <si>
    <t>Pembesian Waremesh M6 1 Lapis</t>
  </si>
  <si>
    <t>Berat Wiremash M6 / M2</t>
  </si>
  <si>
    <t>Pembuatan Pintu Kaca UPVC uk. 200x400cm</t>
  </si>
  <si>
    <t>Keramik uk.30x30cm</t>
  </si>
  <si>
    <t>A.4.4.3.36.</t>
  </si>
  <si>
    <t>A.4.4.3.35.</t>
  </si>
  <si>
    <t>A.5.1.1 26.</t>
  </si>
  <si>
    <t>A.5.1.1 27.</t>
  </si>
  <si>
    <t>A.5.1.1 28.</t>
  </si>
  <si>
    <t>A.5.1.1 29.</t>
  </si>
  <si>
    <t xml:space="preserve">PEKERJAAN SANITAIR </t>
  </si>
  <si>
    <t>PEKERJAAN PLUMBING</t>
  </si>
  <si>
    <t>Pintu UPVC uk. 70x200cm</t>
  </si>
  <si>
    <t>Ventilasi UPVC uk. 70x50cm</t>
  </si>
  <si>
    <t>Pipa 3"</t>
  </si>
  <si>
    <t>REHAB RUANG</t>
  </si>
  <si>
    <t>Pas. Tirai Gorden Gulung</t>
  </si>
  <si>
    <t>Dihitung</t>
  </si>
  <si>
    <t>CV. HAZA MULIA ENGINEERING</t>
  </si>
  <si>
    <t>PEKERJAAN DRAINASE</t>
  </si>
  <si>
    <t>Pemasangan U-Ditch 30x50x120cm - K350</t>
  </si>
  <si>
    <t>Pemasangan Penutup U-Ditch 30x60cm - K350</t>
  </si>
  <si>
    <t>Cor Lantai T=7cm Beton Cor f’c = 19,3 Mpa (K225)</t>
  </si>
  <si>
    <t>Lapisan Cat Epoxy Lantai 1000 Micron</t>
  </si>
  <si>
    <t xml:space="preserve">Pengecatan Cat Tembok Dinding &amp; Kolom </t>
  </si>
  <si>
    <t xml:space="preserve">Pengecatan Cat Tembok Plafond </t>
  </si>
  <si>
    <t>Floordrain Stainless</t>
  </si>
  <si>
    <t>Pengecatan 1 m2 permukaan lantai dengan Epoxy 1000 micron</t>
  </si>
  <si>
    <t>Sewa Scafolding,Perancah/Alat Bantu</t>
  </si>
  <si>
    <t>Kolom Praktis</t>
  </si>
  <si>
    <t>Shower Mandi</t>
  </si>
  <si>
    <t>A.4.4.3.63.A</t>
  </si>
  <si>
    <t>Bongkar Pasang 1 m2 Paving Block Lama</t>
  </si>
  <si>
    <t>Perbaikan Engsel Jendela Alumunium</t>
  </si>
  <si>
    <t>Alat Bantu</t>
  </si>
  <si>
    <t>Keramik uk.20x40cm</t>
  </si>
  <si>
    <t>Pemasangan 1 m2 dinding keramik uk 20 cm x 40 cm</t>
  </si>
  <si>
    <t>Besi Utama</t>
  </si>
  <si>
    <t>Jumlah Besi * Panjang Stump</t>
  </si>
  <si>
    <t>Volume Besi</t>
  </si>
  <si>
    <t>Besi Begel</t>
  </si>
  <si>
    <t>Ukuran</t>
  </si>
  <si>
    <t>Pembersihan Lantai Basement dari Debu</t>
  </si>
  <si>
    <t>Membuat 1 m’ Balok Sloof Uk. 25x30 cm</t>
  </si>
  <si>
    <t>Beton</t>
  </si>
  <si>
    <t>Besi 8</t>
  </si>
  <si>
    <t>Besi 12</t>
  </si>
  <si>
    <t>Saklar Tunggal</t>
  </si>
  <si>
    <t>Saklar Ganda</t>
  </si>
  <si>
    <t>A.5.1.1.1.</t>
  </si>
  <si>
    <t>Pemasangan 1 buah closet duduk/monoblock</t>
  </si>
  <si>
    <t>Closet duduk Komplit</t>
  </si>
  <si>
    <t>A.5.1.1.2.</t>
  </si>
  <si>
    <t>Pemasangan 1 buah closet jongkok porslen</t>
  </si>
  <si>
    <t>Closet jongkok Porselin</t>
  </si>
  <si>
    <t>A.5.1.1 5.</t>
  </si>
  <si>
    <t>Pemasangan 1 buah wastafel</t>
  </si>
  <si>
    <t xml:space="preserve"> Unit</t>
  </si>
  <si>
    <t xml:space="preserve">  Kg</t>
  </si>
  <si>
    <t>A.5.1.1 12.</t>
  </si>
  <si>
    <t>Pemasangan 1 buah bak cuci piring stainlessteel</t>
  </si>
  <si>
    <t xml:space="preserve">Pekerja L.01 OH </t>
  </si>
  <si>
    <t xml:space="preserve">Tukang batu L.02 OH </t>
  </si>
  <si>
    <t xml:space="preserve">Kepala tukang L.03 OH </t>
  </si>
  <si>
    <t xml:space="preserve">Mandor L.04 OH </t>
  </si>
  <si>
    <t>Bak cuci piring stainlessteel</t>
  </si>
  <si>
    <t>A.5.1.1.14.</t>
  </si>
  <si>
    <t>Pekerja L.01 OH</t>
  </si>
  <si>
    <t>Floor drain Stainlessteel</t>
  </si>
  <si>
    <t>A.5.1.1.19.</t>
  </si>
  <si>
    <t>Pemasangan 1 buah kran diameter ½” atau ¾ ”</t>
  </si>
  <si>
    <t>Kran air</t>
  </si>
  <si>
    <t>Sealtape</t>
  </si>
  <si>
    <t>Stop Kran Ball Valve Onda 1"</t>
  </si>
  <si>
    <t>Pemasangan 1 m’ pipa PVC tipe AW diameter ½ ”</t>
  </si>
  <si>
    <t>Pemasangan 1 m’ pipa PVC tipe AW diameter 3/4 ”</t>
  </si>
  <si>
    <t>Pipa PVC 3/4''</t>
  </si>
  <si>
    <t>Pemasangan 1 m’ pipa PVC tipe AW diameter 1”</t>
  </si>
  <si>
    <t>Pipa PVC 1''</t>
  </si>
  <si>
    <t>Pemasangan 1 m’ pipa PVC tipe AW diameter 1 ½ ”</t>
  </si>
  <si>
    <t>Pipa PVC 1 ½ ”</t>
  </si>
  <si>
    <t>Pemasangan 1 m’ pipa PVC tipe AW diameter 2”</t>
  </si>
  <si>
    <t>A.5.1.1 31.</t>
  </si>
  <si>
    <t>Pemasangan 1 m’ pipa PVC tipe AW diameter 3”</t>
  </si>
  <si>
    <t>Pasang 1 buah Lampu LED 7 watt + Fitting Down Light</t>
  </si>
  <si>
    <t>Fitting Down Light 4"</t>
  </si>
  <si>
    <t>Lampu LED 7 Watt</t>
  </si>
  <si>
    <t>Hit. SAN. 01</t>
  </si>
  <si>
    <t>Hit. SAN. 02</t>
  </si>
  <si>
    <t>Pemasangan 1 buah Shower Kran Bidet</t>
  </si>
  <si>
    <t>Pemasangan 1 buah Shower Kran Mandi</t>
  </si>
  <si>
    <t>Shower Kran Dinding</t>
  </si>
  <si>
    <t>Shower Kran Bidet</t>
  </si>
  <si>
    <t>PLUMBING</t>
  </si>
  <si>
    <t>SANITAIR</t>
  </si>
  <si>
    <t>Hit. SAN. 03</t>
  </si>
  <si>
    <t>Hit. SAN. 04</t>
  </si>
  <si>
    <t>Tempat Sabun Porselin</t>
  </si>
  <si>
    <t>Memasang 1 bh Pintu Aluminium Uk. 70x200 cm</t>
  </si>
  <si>
    <t>Pintu Aluminium Komplit Uk. 70x200 cm</t>
  </si>
  <si>
    <t>Arah Jalan</t>
  </si>
  <si>
    <t>Bongkar Pasang</t>
  </si>
  <si>
    <t>Pasang Baru</t>
  </si>
  <si>
    <t>PEKERJAAN DRAINASE TYPE 1 - U.DITCH</t>
  </si>
  <si>
    <t xml:space="preserve">PEKERJAAN DRAINASE TYPE 2 </t>
  </si>
  <si>
    <t>PEKERJAAN DRAINASE TYPE 3</t>
  </si>
  <si>
    <t>Parkir Mobil</t>
  </si>
  <si>
    <t>Jumlah Unit</t>
  </si>
  <si>
    <t>Panjang Marka PerUnit</t>
  </si>
  <si>
    <t>Tebal</t>
  </si>
  <si>
    <t>Kanan</t>
  </si>
  <si>
    <t>VOLUME TOTAL</t>
  </si>
  <si>
    <t>Hit.DRN.1.01</t>
  </si>
  <si>
    <t>Hit.DRN.2.01</t>
  </si>
  <si>
    <t>Hit.DRN.3.01</t>
  </si>
  <si>
    <t>Pemasangan U-Ditch 30x30x120cm - K350</t>
  </si>
  <si>
    <t>Hit.DRN.2.02</t>
  </si>
  <si>
    <t xml:space="preserve">Pemasangan Buis Beton Dia. 50cm </t>
  </si>
  <si>
    <t>i</t>
  </si>
  <si>
    <t>Biaya Keselamatan &amp; Kesehatan Kerja (SMK3)</t>
  </si>
  <si>
    <t>Pelindung Wajah (Face Shield)</t>
  </si>
  <si>
    <t>Hit. DRN.4.01</t>
  </si>
  <si>
    <t>Hit. DRN.4.02</t>
  </si>
  <si>
    <t>Hit.Epoxy.01</t>
  </si>
  <si>
    <t>Hit.Epoxy.02</t>
  </si>
  <si>
    <t>Hit.Aci.Scrd.</t>
  </si>
  <si>
    <t>Luas Basemen</t>
  </si>
  <si>
    <t>KM 1</t>
  </si>
  <si>
    <t>KM 2</t>
  </si>
  <si>
    <t>G.1</t>
  </si>
  <si>
    <t>G.2</t>
  </si>
  <si>
    <t>F.1</t>
  </si>
  <si>
    <t>F.2</t>
  </si>
  <si>
    <t>F.3</t>
  </si>
  <si>
    <t>F.4</t>
  </si>
  <si>
    <t>E.1</t>
  </si>
  <si>
    <t>E.2</t>
  </si>
  <si>
    <t>E.3</t>
  </si>
  <si>
    <t>E.4</t>
  </si>
  <si>
    <t>P.1</t>
  </si>
  <si>
    <t>P.2</t>
  </si>
  <si>
    <t>SYAHRUDIN, SE, MM.</t>
  </si>
  <si>
    <t>NIP : 19781023 200212 1 002</t>
  </si>
  <si>
    <t xml:space="preserve">H.TRI BUANA MISBACH, ST.
</t>
  </si>
  <si>
    <t>RUSPAIDIL HARAHAP, SE.</t>
  </si>
  <si>
    <t>SUB TOTAL E1</t>
  </si>
  <si>
    <t>SUB TOTAL E2</t>
  </si>
  <si>
    <t>SUB TOTAL E3</t>
  </si>
  <si>
    <t>SUB TOTAL E4</t>
  </si>
  <si>
    <t>SUB TOTAL F1</t>
  </si>
  <si>
    <t>SUB TOTAL F2</t>
  </si>
  <si>
    <t>SUB TOTAL F3</t>
  </si>
  <si>
    <t>SUB TOTAL F4</t>
  </si>
  <si>
    <t>GEDUNG SERBA GUNA</t>
  </si>
  <si>
    <t>U-ditch 30x50x120cm - K350</t>
  </si>
  <si>
    <t>U-ditch 30x30x120cm - K350</t>
  </si>
  <si>
    <t>Buis Beton O dia. 50cm</t>
  </si>
  <si>
    <t>Penutup U-ditch 30x60cm - K350</t>
  </si>
  <si>
    <t>Lampu LED 7 watt + Fitting Downlight</t>
  </si>
  <si>
    <t>Pemasangan 1 buah Stop Kran Ball Valve 1"</t>
  </si>
  <si>
    <t>Pemasangan 1 buah Tempat Sabun</t>
  </si>
  <si>
    <t>A.5.1.1.15.</t>
  </si>
  <si>
    <t>Pemasangan 1 buah Push Kran Urinoir</t>
  </si>
  <si>
    <t>Pemasangan 1 m2 dinding bata merah (5x11x22) cm tebal ½ batu
campuran 1SP :4PP</t>
  </si>
  <si>
    <t>Pemasangan 1 m2 bekisting untuk sloof / kolom praktis</t>
  </si>
  <si>
    <t>Pemasangan 1 m2 bekisting untuk  kolom</t>
  </si>
  <si>
    <t>Beton  Cor f’c = 14,5 Mpa (K175)</t>
  </si>
  <si>
    <t>Pembesian 4 Ø12</t>
  </si>
  <si>
    <t>Pembesian Ø8 - 150</t>
  </si>
  <si>
    <t>Memasang 1 bh handle Pintu</t>
  </si>
  <si>
    <t>A.4.6.2.13</t>
  </si>
  <si>
    <t>Memasang 1 bh engsel jendela Alumunium</t>
  </si>
  <si>
    <t>A.4.6.2.8</t>
  </si>
  <si>
    <t>Engsel jendela Alumunium</t>
  </si>
  <si>
    <t>Engsel Jendela Alumunium</t>
  </si>
  <si>
    <t>Tukang kaca</t>
  </si>
  <si>
    <t>A.4.4.3.33.B</t>
  </si>
  <si>
    <t>Pemasangan 1m2 Dinding granite ukuran 60cm x 60cm</t>
  </si>
  <si>
    <t>SUB TOTAL G1</t>
  </si>
  <si>
    <t>SUB TOTAL G2</t>
  </si>
  <si>
    <t>Handle Pintu Stainlessteel</t>
  </si>
  <si>
    <t>Handle jendela Stay Hinge</t>
  </si>
  <si>
    <t>Memasang 1 bh handle jendela Aluminium (Stay Hinge)</t>
  </si>
  <si>
    <t>Buis Beton Dia 50cm</t>
  </si>
  <si>
    <t>U-Ditch 30x50x120cm - K350</t>
  </si>
  <si>
    <t>U-Ditch 30x30x120cm - K350</t>
  </si>
  <si>
    <t>Penutup U-Ditch 30x60cm - K350</t>
  </si>
  <si>
    <t>Besi Beton Dia 12mm</t>
  </si>
  <si>
    <t>A.4.1.1.18.</t>
  </si>
  <si>
    <t>Wiremesh m6</t>
  </si>
  <si>
    <t>247.750,-</t>
  </si>
  <si>
    <t>Pemasangan 1 m2 Pembesian dengan jaring kawat baja (wiremesh) M6</t>
  </si>
  <si>
    <t>Lembar</t>
  </si>
  <si>
    <t>Wiremesh m6 (5,2)mm</t>
  </si>
  <si>
    <t>Wiremesh m6 kg</t>
  </si>
  <si>
    <t>Titik</t>
  </si>
  <si>
    <t>Jdalam</t>
  </si>
  <si>
    <t>Vil 1</t>
  </si>
  <si>
    <t>Vil 2</t>
  </si>
  <si>
    <t>Pas, Bata</t>
  </si>
  <si>
    <t>Plesteran</t>
  </si>
  <si>
    <t>Membuat 1 Unit Bak Kontrol Tipe 1 uk. 50x50x50 cm</t>
  </si>
  <si>
    <t>Lantai Beton K-175</t>
  </si>
  <si>
    <t>Lantai kerja K-100</t>
  </si>
  <si>
    <t>ITEM PEKERJAAN</t>
  </si>
  <si>
    <t xml:space="preserve">Tutup Kontrol Besi </t>
  </si>
  <si>
    <t>Lantai Keramik unpholised 40x40</t>
  </si>
  <si>
    <t>Sisip Lantai Keramik Existing</t>
  </si>
  <si>
    <r>
      <t xml:space="preserve">Pembesian </t>
    </r>
    <r>
      <rPr>
        <sz val="12"/>
        <rFont val="Arial"/>
        <family val="2"/>
      </rPr>
      <t>Ø8 - 150</t>
    </r>
  </si>
  <si>
    <t>Lantai Kerja Beton Cor f’c = 7,4 Mpa</t>
  </si>
  <si>
    <t>Cat Tembok Kanstin</t>
  </si>
  <si>
    <t>Bongkar Paving Lama</t>
  </si>
  <si>
    <t>PEKERJAAN Bongkar</t>
  </si>
  <si>
    <t>Buang Sisa Bongkar dan Pembersihan</t>
  </si>
  <si>
    <t>Pengecatan Cat Tembok Nomor Grid Kolom</t>
  </si>
  <si>
    <t>Pekerjaan Bongkaran</t>
  </si>
  <si>
    <t>Pas. Instalasi Penerangan</t>
  </si>
  <si>
    <t>Pas. Paving block Baru</t>
  </si>
  <si>
    <t>Pas. Kembali Paving block Lama</t>
  </si>
  <si>
    <t>Pas. U-Ditch 30x50x120cm - K350</t>
  </si>
  <si>
    <t>Pas. Penutup U-Ditch 30x60cm - K350</t>
  </si>
  <si>
    <t>Pas. U-Ditch 30x30x120cm - K350</t>
  </si>
  <si>
    <t xml:space="preserve">Pas. Buis Beton Dia. 50cm </t>
  </si>
  <si>
    <t>Pas. Kunci Tanam</t>
  </si>
  <si>
    <t>Pas. Pintu Toilet Aluminium</t>
  </si>
  <si>
    <t>Pas. Lantai Granite tile unpholised 60x60</t>
  </si>
  <si>
    <t>Pas. Dinding Granite tile pholised 60x60</t>
  </si>
  <si>
    <t>Pas. Plakat Monumen</t>
  </si>
  <si>
    <t>Pas. Tiang Bendera</t>
  </si>
  <si>
    <t>Pas. Huruf Stainless</t>
  </si>
  <si>
    <t>Sisip Lantai Keramik Koridor Lantai 2</t>
  </si>
  <si>
    <t>Sisip lantai Vynil</t>
  </si>
  <si>
    <t>Sisip Granite 60x60</t>
  </si>
  <si>
    <t>Timbunan Tanah Hitam</t>
  </si>
  <si>
    <t>Tutup Kontrol Rangka Besi</t>
  </si>
  <si>
    <t>Pengecatan Cat Tembok Dinding Interior</t>
  </si>
  <si>
    <t>Pengecatan Cat Tembok Dinding</t>
  </si>
  <si>
    <t>Pengecatan Cat Tembok Dinding Interior (Dinding Partisi)</t>
  </si>
  <si>
    <t>Pemasangan 1 buah Urinoir</t>
  </si>
  <si>
    <t>Urinoir Komplit</t>
  </si>
  <si>
    <t>A.5.1.1 6.</t>
  </si>
  <si>
    <t>Lapisan Cat Epoxy 500 Micron Rambu Parkir</t>
  </si>
  <si>
    <r>
      <t>A.4.7.1.</t>
    </r>
    <r>
      <rPr>
        <b/>
        <sz val="11"/>
        <rFont val="Arial"/>
        <family val="2"/>
      </rPr>
      <t>4.</t>
    </r>
  </si>
  <si>
    <t>Team Leader</t>
  </si>
  <si>
    <t>HARGA PERKIRAAN SENDIRI (HPS)</t>
  </si>
  <si>
    <t>Jalan Williem Iskandar Medan - Sumatera Utara</t>
  </si>
  <si>
    <t>% TKDN</t>
  </si>
  <si>
    <t>TOTAL (Rp)</t>
  </si>
  <si>
    <t>KDN (Rp)</t>
  </si>
  <si>
    <t>KLN (Rp)</t>
  </si>
  <si>
    <t>HARGA SATUAN      (Rp)</t>
  </si>
  <si>
    <t>JUMLAH HARGA      (Rp)</t>
  </si>
  <si>
    <t>(8)</t>
  </si>
  <si>
    <t>(9)</t>
  </si>
  <si>
    <t>(10)</t>
  </si>
  <si>
    <t>(11)</t>
  </si>
  <si>
    <t>BOBOT TKDN %</t>
  </si>
  <si>
    <t>Pekerjaan Sisip Atap Bocor</t>
  </si>
  <si>
    <t>Parkir Motor</t>
  </si>
  <si>
    <t>PEKERJAAN DRAINASE TYPE 4</t>
  </si>
  <si>
    <t xml:space="preserve">Pas. Buis Beton Dia. 30cm </t>
  </si>
  <si>
    <t>Hit.DRN.1.02</t>
  </si>
  <si>
    <t xml:space="preserve">Pemasangan Buis Beton Dia. 30cm </t>
  </si>
  <si>
    <t>Buis Beton Dia 30cm</t>
  </si>
  <si>
    <t xml:space="preserve">Jumlah </t>
  </si>
  <si>
    <t>Fabrikasi</t>
  </si>
  <si>
    <t>Perlengkapan &amp; Peralatan</t>
  </si>
  <si>
    <t>Besi Siku 40x40x4</t>
  </si>
  <si>
    <t xml:space="preserve">Medan, </t>
  </si>
  <si>
    <t>DINAS KEPEMUDAAN DAN KEOLAHRAGAAN</t>
  </si>
  <si>
    <t>PROOVINSI SUMATERA UTARA</t>
  </si>
  <si>
    <t>KUASA PENGGUNA ANGGARAN</t>
  </si>
  <si>
    <t>(KPA)</t>
  </si>
  <si>
    <t>Maret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</si>
</sst>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&quot;Rp&quot;#,##0.00_);\(&quot;Rp&quot;#,##0.00\)"/>
    <numFmt numFmtId="165" formatCode="_(&quot;Rp&quot;* #,##0_);_(&quot;Rp&quot;* \(#,##0\);_(&quot;Rp&quot;* &quot;-&quot;_);_(@_)"/>
    <numFmt numFmtId="166" formatCode="_(* #,##0_);_(* \(#,##0\);_(* &quot;-&quot;_);_(@_)"/>
    <numFmt numFmtId="167" formatCode="_(* #,##0.00_);_(* \(#,##0.00\);_(* &quot;-&quot;??_);_(@_)"/>
    <numFmt numFmtId="168" formatCode="#,##0.000"/>
    <numFmt numFmtId="169" formatCode="_([$Rp-421]* #,##0.00_);_([$Rp-421]* \(#,##0.00\);_([$Rp-421]* &quot;-&quot;??_);_(@_)"/>
    <numFmt numFmtId="170" formatCode="_(* #,##0.00_);_(* \(#,##0.00\);_(* &quot;-&quot;_);_(@_)"/>
    <numFmt numFmtId="171" formatCode="0.000"/>
    <numFmt numFmtId="172" formatCode="_(&quot;Rp&quot;* #,##0.00_);_(&quot;Rp&quot;* \(#,##0.00\);_(&quot;Rp&quot;* &quot;-&quot;_);_(@_)"/>
    <numFmt numFmtId="173" formatCode="_([$Rp-421]* #,##0_);_([$Rp-421]* \(#,##0\);_([$Rp-421]* &quot;-&quot;??_);_(@_)"/>
    <numFmt numFmtId="174" formatCode="_-[$Rp-421]* #,##0.00_ ;_-[$Rp-421]* \-#,##0.00\ ;_-[$Rp-421]* &quot;-&quot;??_ ;_-@_ "/>
    <numFmt numFmtId="175" formatCode="_-&quot;Rp&quot;* #,##0.00_-;\-&quot;Rp&quot;* #,##0.00_-;_-&quot;Rp&quot;* &quot;-&quot;_-;_-@_-"/>
    <numFmt numFmtId="176" formatCode="_(* #,##0.000_);_(* \(#,##0.000\);_(* &quot;-&quot;??_);_(@_)"/>
    <numFmt numFmtId="177" formatCode="0.0"/>
    <numFmt numFmtId="178" formatCode="_(* #,##0_);_(* \(#,##0\);_(* &quot;-&quot;??_);_(@_)"/>
    <numFmt numFmtId="179" formatCode="_-[$Rp-421]* #,##0.00_-;\-[$Rp-421]* #,##0.00_-;_-[$Rp-421]* &quot;-&quot;??_-;_-@_-"/>
    <numFmt numFmtId="180" formatCode="_(* #,##0.000_);_(* \(#,##0.000\);_(* &quot;-&quot;_);_(@_)"/>
  </numFmts>
  <fonts count="1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2"/>
      <name val="Arial"/>
      <family val="2"/>
    </font>
    <font>
      <b/>
      <sz val="16"/>
      <name val="Arial Narrow"/>
      <family val="2"/>
    </font>
    <font>
      <sz val="9"/>
      <name val="Rockwell"/>
      <family val="1"/>
    </font>
    <font>
      <b/>
      <sz val="10"/>
      <name val="Trebuchet MS"/>
      <family val="2"/>
    </font>
    <font>
      <sz val="10"/>
      <name val="Trebuchet MS"/>
      <family val="2"/>
    </font>
    <font>
      <sz val="10"/>
      <name val="Times New Roman"/>
      <family val="1"/>
    </font>
    <font>
      <sz val="12"/>
      <name val="Arial Narrow"/>
      <family val="2"/>
    </font>
    <font>
      <b/>
      <sz val="12"/>
      <name val="Arial Narrow"/>
      <family val="2"/>
    </font>
    <font>
      <i/>
      <sz val="12"/>
      <name val="Arial Narrow"/>
      <family val="2"/>
    </font>
    <font>
      <b/>
      <i/>
      <sz val="12"/>
      <name val="Arial Narrow"/>
      <family val="2"/>
    </font>
    <font>
      <b/>
      <u/>
      <sz val="12"/>
      <name val="Arial Narrow"/>
      <family val="2"/>
    </font>
    <font>
      <sz val="10"/>
      <name val="Arial"/>
      <family val="2"/>
    </font>
    <font>
      <sz val="10"/>
      <color rgb="FFC00000"/>
      <name val="Trebuchet MS"/>
      <family val="2"/>
    </font>
    <font>
      <sz val="12"/>
      <color rgb="FFC00000"/>
      <name val="Arial Narrow"/>
      <family val="2"/>
    </font>
    <font>
      <b/>
      <sz val="12"/>
      <color rgb="FFC00000"/>
      <name val="Arial Narrow"/>
      <family val="2"/>
    </font>
    <font>
      <i/>
      <sz val="12"/>
      <color rgb="FFC00000"/>
      <name val="Arial Narrow"/>
      <family val="2"/>
    </font>
    <font>
      <b/>
      <i/>
      <sz val="16"/>
      <name val="Arial Narrow"/>
      <family val="2"/>
    </font>
    <font>
      <i/>
      <sz val="16"/>
      <name val="Arial Narrow"/>
      <family val="2"/>
    </font>
    <font>
      <i/>
      <sz val="10"/>
      <name val="Trebuchet MS"/>
      <family val="2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name val="ＭＳ Ｐゴシック"/>
      <charset val="128"/>
    </font>
    <font>
      <sz val="10"/>
      <name val="Arial Narrow"/>
      <family val="2"/>
    </font>
    <font>
      <sz val="10"/>
      <name val="Arial"/>
      <family val="2"/>
    </font>
    <font>
      <b/>
      <sz val="12"/>
      <color rgb="FFFF0000"/>
      <name val="Arial Narrow"/>
      <family val="2"/>
    </font>
    <font>
      <sz val="12"/>
      <color rgb="FFFF0000"/>
      <name val="Arial Narrow"/>
      <family val="2"/>
    </font>
    <font>
      <sz val="11"/>
      <name val="Arial Narrow"/>
      <family val="2"/>
    </font>
    <font>
      <sz val="10"/>
      <name val="Book Antiqua"/>
      <family val="1"/>
    </font>
    <font>
      <sz val="10"/>
      <color indexed="8"/>
      <name val="Arial"/>
      <family val="2"/>
      <charset val="1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1"/>
      <color rgb="FF000000"/>
      <name val="Arial Narrow"/>
      <family val="2"/>
    </font>
    <font>
      <sz val="16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b/>
      <sz val="14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name val="Arial Narrow"/>
      <family val="2"/>
    </font>
    <font>
      <sz val="10"/>
      <color rgb="FFFF0000"/>
      <name val="Arial Narrow"/>
      <family val="2"/>
    </font>
    <font>
      <sz val="11"/>
      <color indexed="10"/>
      <name val="Arial Narrow"/>
      <family val="2"/>
    </font>
    <font>
      <b/>
      <i/>
      <sz val="8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8"/>
      <name val="Arial Narrow"/>
      <family val="2"/>
    </font>
    <font>
      <i/>
      <sz val="12"/>
      <color rgb="FF000000"/>
      <name val="Arial Narrow"/>
      <family val="2"/>
    </font>
    <font>
      <sz val="12"/>
      <color rgb="FF000000"/>
      <name val="Arial Narrow"/>
      <family val="2"/>
    </font>
    <font>
      <vertAlign val="superscript"/>
      <sz val="12"/>
      <name val="Arial Narrow"/>
      <family val="2"/>
    </font>
    <font>
      <i/>
      <sz val="12"/>
      <color theme="1"/>
      <name val="Arial Narrow"/>
      <family val="2"/>
    </font>
    <font>
      <vertAlign val="superscript"/>
      <sz val="11"/>
      <name val="Arial Narrow"/>
      <family val="2"/>
    </font>
    <font>
      <sz val="11"/>
      <color rgb="FF000000"/>
      <name val="Arial Narrow"/>
      <family val="2"/>
    </font>
    <font>
      <b/>
      <sz val="12"/>
      <color rgb="FF000000"/>
      <name val="Arial Narrow"/>
      <family val="2"/>
    </font>
    <font>
      <b/>
      <sz val="20"/>
      <name val="Bookman Old Style"/>
      <family val="1"/>
    </font>
    <font>
      <sz val="16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5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i/>
      <sz val="14"/>
      <name val="Arial Narrow"/>
      <family val="2"/>
    </font>
    <font>
      <sz val="14"/>
      <name val="Trebuchet MS"/>
      <family val="2"/>
    </font>
    <font>
      <i/>
      <sz val="14"/>
      <name val="Arial Narrow"/>
      <family val="2"/>
    </font>
    <font>
      <b/>
      <sz val="16"/>
      <color theme="1"/>
      <name val="Bookman Old Style"/>
      <family val="1"/>
    </font>
    <font>
      <b/>
      <sz val="18"/>
      <name val="Bookman Old Style"/>
      <family val="1"/>
    </font>
    <font>
      <b/>
      <u/>
      <sz val="14"/>
      <name val="Bookman Old Style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sz val="10"/>
      <color rgb="FF000000"/>
      <name val="Times New Roman"/>
      <family val="1"/>
    </font>
    <font>
      <b/>
      <sz val="14"/>
      <name val="Bookman Old Style"/>
      <family val="1"/>
    </font>
    <font>
      <b/>
      <sz val="12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color rgb="FFFF0000"/>
      <name val="Arial"/>
      <family val="2"/>
    </font>
    <font>
      <b/>
      <i/>
      <sz val="12"/>
      <color theme="1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Arial"/>
      <family val="2"/>
    </font>
    <font>
      <u val="double"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i/>
      <sz val="12"/>
      <color indexed="8"/>
      <name val="Arial"/>
      <family val="2"/>
    </font>
    <font>
      <sz val="11"/>
      <color indexed="8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indexed="10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b/>
      <sz val="24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i/>
      <sz val="14"/>
      <color theme="1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u/>
      <sz val="13"/>
      <name val="Arial"/>
      <family val="2"/>
    </font>
    <font>
      <sz val="1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58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 style="double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/>
      <diagonal/>
    </border>
    <border>
      <left/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double">
        <color indexed="64"/>
      </top>
      <bottom style="hair">
        <color indexed="64"/>
      </bottom>
      <diagonal/>
    </border>
    <border>
      <left style="thin">
        <color indexed="8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8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8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/>
      <top style="hair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8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69">
    <xf numFmtId="0" fontId="0" fillId="0" borderId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39" fontId="7" fillId="0" borderId="0"/>
    <xf numFmtId="0" fontId="9" fillId="0" borderId="0"/>
    <xf numFmtId="0" fontId="12" fillId="0" borderId="0"/>
    <xf numFmtId="0" fontId="6" fillId="0" borderId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6" fontId="18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6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7" fillId="0" borderId="0"/>
    <xf numFmtId="0" fontId="4" fillId="0" borderId="0"/>
    <xf numFmtId="0" fontId="26" fillId="0" borderId="0"/>
    <xf numFmtId="9" fontId="6" fillId="0" borderId="0" applyFont="0" applyFill="0" applyBorder="0" applyAlignment="0" applyProtection="0"/>
    <xf numFmtId="38" fontId="28" fillId="0" borderId="0" applyFont="0" applyFill="0" applyBorder="0" applyAlignment="0" applyProtection="0"/>
    <xf numFmtId="0" fontId="28" fillId="0" borderId="0"/>
    <xf numFmtId="167" fontId="30" fillId="0" borderId="0" applyFont="0" applyFill="0" applyBorder="0" applyAlignment="0" applyProtection="0"/>
    <xf numFmtId="0" fontId="6" fillId="0" borderId="0"/>
    <xf numFmtId="165" fontId="30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4" fillId="0" borderId="0" applyFont="0" applyFill="0" applyBorder="0" applyAlignment="0" applyProtection="0"/>
    <xf numFmtId="173" fontId="4" fillId="0" borderId="0"/>
    <xf numFmtId="173" fontId="4" fillId="0" borderId="0"/>
    <xf numFmtId="0" fontId="3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2" fillId="0" borderId="0"/>
    <xf numFmtId="0" fontId="33" fillId="0" borderId="0"/>
    <xf numFmtId="0" fontId="6" fillId="0" borderId="0"/>
    <xf numFmtId="0" fontId="4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36" fillId="0" borderId="0"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38" fillId="0" borderId="0">
      <alignment vertical="center"/>
    </xf>
    <xf numFmtId="0" fontId="6" fillId="0" borderId="0"/>
    <xf numFmtId="0" fontId="38" fillId="0" borderId="0">
      <alignment vertical="center"/>
    </xf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34" fillId="0" borderId="0"/>
    <xf numFmtId="0" fontId="6" fillId="0" borderId="0"/>
    <xf numFmtId="0" fontId="4" fillId="0" borderId="0"/>
    <xf numFmtId="0" fontId="6" fillId="0" borderId="0"/>
    <xf numFmtId="9" fontId="39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 applyProtection="0"/>
    <xf numFmtId="0" fontId="80" fillId="0" borderId="0"/>
    <xf numFmtId="9" fontId="83" fillId="0" borderId="0" applyFont="0" applyFill="0" applyBorder="0" applyAlignment="0" applyProtection="0"/>
  </cellStyleXfs>
  <cellXfs count="1283">
    <xf numFmtId="0" fontId="0" fillId="0" borderId="0" xfId="0"/>
    <xf numFmtId="0" fontId="11" fillId="0" borderId="0" xfId="0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30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4" fillId="0" borderId="28" xfId="0" applyFont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14" fillId="0" borderId="66" xfId="0" applyFont="1" applyBorder="1" applyAlignment="1">
      <alignment vertical="center"/>
    </xf>
    <xf numFmtId="0" fontId="13" fillId="0" borderId="66" xfId="0" applyFont="1" applyBorder="1" applyAlignment="1">
      <alignment vertical="center"/>
    </xf>
    <xf numFmtId="4" fontId="13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6" fontId="14" fillId="0" borderId="6" xfId="2" applyFont="1" applyFill="1" applyBorder="1" applyAlignment="1">
      <alignment vertical="center"/>
    </xf>
    <xf numFmtId="0" fontId="17" fillId="0" borderId="0" xfId="1" applyNumberFormat="1" applyFont="1" applyFill="1" applyBorder="1" applyAlignment="1">
      <alignment horizontal="left"/>
    </xf>
    <xf numFmtId="0" fontId="14" fillId="0" borderId="0" xfId="1" applyNumberFormat="1" applyFont="1" applyFill="1" applyBorder="1" applyAlignment="1">
      <alignment horizontal="left"/>
    </xf>
    <xf numFmtId="4" fontId="15" fillId="0" borderId="0" xfId="0" applyNumberFormat="1" applyFont="1" applyAlignment="1">
      <alignment horizontal="right" vertical="center"/>
    </xf>
    <xf numFmtId="0" fontId="14" fillId="0" borderId="1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4" fontId="15" fillId="0" borderId="10" xfId="0" applyNumberFormat="1" applyFont="1" applyBorder="1" applyAlignment="1">
      <alignment horizontal="right" vertical="center"/>
    </xf>
    <xf numFmtId="4" fontId="15" fillId="0" borderId="7" xfId="0" applyNumberFormat="1" applyFont="1" applyBorder="1" applyAlignment="1">
      <alignment horizontal="right" vertical="center"/>
    </xf>
    <xf numFmtId="4" fontId="16" fillId="0" borderId="7" xfId="0" applyNumberFormat="1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170" fontId="8" fillId="0" borderId="0" xfId="2" applyNumberFormat="1" applyFont="1" applyFill="1" applyAlignment="1">
      <alignment horizontal="center" vertical="center"/>
    </xf>
    <xf numFmtId="170" fontId="16" fillId="0" borderId="5" xfId="2" applyNumberFormat="1" applyFont="1" applyFill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9" fillId="0" borderId="0" xfId="0" applyFont="1"/>
    <xf numFmtId="0" fontId="15" fillId="0" borderId="0" xfId="0" applyFont="1" applyAlignment="1">
      <alignment vertical="center"/>
    </xf>
    <xf numFmtId="166" fontId="14" fillId="0" borderId="7" xfId="2" applyFont="1" applyFill="1" applyBorder="1" applyAlignment="1">
      <alignment vertical="center"/>
    </xf>
    <xf numFmtId="0" fontId="25" fillId="0" borderId="0" xfId="0" applyFont="1" applyAlignment="1">
      <alignment horizontal="center" vertical="center" wrapText="1"/>
    </xf>
    <xf numFmtId="0" fontId="13" fillId="0" borderId="60" xfId="0" applyFont="1" applyBorder="1" applyAlignment="1">
      <alignment vertical="center"/>
    </xf>
    <xf numFmtId="4" fontId="15" fillId="0" borderId="66" xfId="0" applyNumberFormat="1" applyFont="1" applyBorder="1" applyAlignment="1">
      <alignment horizontal="right" vertical="center"/>
    </xf>
    <xf numFmtId="166" fontId="14" fillId="0" borderId="7" xfId="0" applyNumberFormat="1" applyFont="1" applyBorder="1" applyAlignment="1">
      <alignment vertical="center"/>
    </xf>
    <xf numFmtId="170" fontId="14" fillId="0" borderId="0" xfId="2" applyNumberFormat="1" applyFont="1" applyFill="1" applyAlignment="1">
      <alignment vertical="center"/>
    </xf>
    <xf numFmtId="170" fontId="14" fillId="0" borderId="0" xfId="2" applyNumberFormat="1" applyFont="1" applyFill="1" applyAlignment="1">
      <alignment horizontal="right" vertical="center"/>
    </xf>
    <xf numFmtId="170" fontId="14" fillId="0" borderId="11" xfId="2" applyNumberFormat="1" applyFont="1" applyFill="1" applyBorder="1" applyAlignment="1">
      <alignment horizontal="right" vertical="center"/>
    </xf>
    <xf numFmtId="170" fontId="14" fillId="0" borderId="15" xfId="2" applyNumberFormat="1" applyFont="1" applyFill="1" applyBorder="1" applyAlignment="1">
      <alignment horizontal="right" vertical="center"/>
    </xf>
    <xf numFmtId="170" fontId="14" fillId="0" borderId="5" xfId="2" applyNumberFormat="1" applyFont="1" applyFill="1" applyBorder="1" applyAlignment="1">
      <alignment horizontal="right" vertical="center"/>
    </xf>
    <xf numFmtId="170" fontId="21" fillId="0" borderId="0" xfId="2" applyNumberFormat="1" applyFont="1" applyFill="1" applyAlignment="1">
      <alignment horizontal="right" vertical="center"/>
    </xf>
    <xf numFmtId="39" fontId="14" fillId="0" borderId="0" xfId="3" applyFont="1"/>
    <xf numFmtId="0" fontId="14" fillId="0" borderId="0" xfId="3" applyNumberFormat="1" applyFont="1" applyAlignment="1">
      <alignment horizontal="left"/>
    </xf>
    <xf numFmtId="0" fontId="29" fillId="0" borderId="0" xfId="0" applyFont="1"/>
    <xf numFmtId="0" fontId="14" fillId="0" borderId="60" xfId="0" applyFont="1" applyBorder="1" applyAlignment="1">
      <alignment horizontal="center" vertical="center"/>
    </xf>
    <xf numFmtId="166" fontId="14" fillId="0" borderId="22" xfId="2" applyFont="1" applyFill="1" applyBorder="1" applyAlignment="1">
      <alignment vertical="center"/>
    </xf>
    <xf numFmtId="167" fontId="23" fillId="0" borderId="0" xfId="1" applyFont="1" applyFill="1" applyBorder="1" applyAlignment="1">
      <alignment horizontal="center" vertical="center"/>
    </xf>
    <xf numFmtId="167" fontId="24" fillId="0" borderId="0" xfId="1" applyFont="1" applyFill="1" applyBorder="1" applyAlignment="1">
      <alignment horizontal="center" vertical="center"/>
    </xf>
    <xf numFmtId="167" fontId="15" fillId="0" borderId="0" xfId="1" applyFont="1" applyFill="1" applyBorder="1" applyAlignment="1">
      <alignment horizontal="center" vertical="center"/>
    </xf>
    <xf numFmtId="167" fontId="15" fillId="0" borderId="0" xfId="1" applyFont="1" applyFill="1" applyBorder="1" applyAlignment="1">
      <alignment vertical="center"/>
    </xf>
    <xf numFmtId="167" fontId="15" fillId="0" borderId="0" xfId="1" applyFont="1" applyFill="1" applyBorder="1" applyAlignment="1">
      <alignment horizontal="right" vertical="center"/>
    </xf>
    <xf numFmtId="167" fontId="15" fillId="0" borderId="10" xfId="1" applyFont="1" applyFill="1" applyBorder="1" applyAlignment="1">
      <alignment horizontal="center" vertical="center"/>
    </xf>
    <xf numFmtId="167" fontId="15" fillId="0" borderId="10" xfId="1" applyFont="1" applyFill="1" applyBorder="1" applyAlignment="1">
      <alignment horizontal="right" vertical="center"/>
    </xf>
    <xf numFmtId="167" fontId="15" fillId="0" borderId="67" xfId="1" applyFont="1" applyFill="1" applyBorder="1" applyAlignment="1">
      <alignment horizontal="center" vertical="center"/>
    </xf>
    <xf numFmtId="167" fontId="15" fillId="0" borderId="7" xfId="1" applyFont="1" applyFill="1" applyBorder="1" applyAlignment="1">
      <alignment horizontal="center" vertical="center"/>
    </xf>
    <xf numFmtId="167" fontId="15" fillId="0" borderId="7" xfId="1" applyFont="1" applyFill="1" applyBorder="1" applyAlignment="1">
      <alignment horizontal="right" vertical="center"/>
    </xf>
    <xf numFmtId="167" fontId="15" fillId="0" borderId="8" xfId="1" applyFont="1" applyFill="1" applyBorder="1" applyAlignment="1">
      <alignment horizontal="center" vertical="center"/>
    </xf>
    <xf numFmtId="167" fontId="16" fillId="0" borderId="7" xfId="1" applyFont="1" applyFill="1" applyBorder="1" applyAlignment="1">
      <alignment horizontal="center" vertical="center"/>
    </xf>
    <xf numFmtId="167" fontId="16" fillId="0" borderId="7" xfId="1" applyFont="1" applyFill="1" applyBorder="1" applyAlignment="1">
      <alignment horizontal="right" vertical="center"/>
    </xf>
    <xf numFmtId="167" fontId="22" fillId="0" borderId="0" xfId="1" applyFont="1" applyFill="1" applyBorder="1" applyAlignment="1">
      <alignment horizontal="center" vertical="center"/>
    </xf>
    <xf numFmtId="167" fontId="22" fillId="0" borderId="0" xfId="1" applyFont="1" applyFill="1" applyBorder="1" applyAlignment="1">
      <alignment horizontal="right" vertical="center"/>
    </xf>
    <xf numFmtId="0" fontId="14" fillId="0" borderId="0" xfId="0" applyFont="1"/>
    <xf numFmtId="4" fontId="14" fillId="0" borderId="0" xfId="0" applyNumberFormat="1" applyFont="1" applyAlignment="1">
      <alignment vertical="center"/>
    </xf>
    <xf numFmtId="4" fontId="14" fillId="0" borderId="31" xfId="0" applyNumberFormat="1" applyFont="1" applyBorder="1" applyAlignment="1">
      <alignment horizontal="center" vertical="center"/>
    </xf>
    <xf numFmtId="4" fontId="14" fillId="0" borderId="59" xfId="0" applyNumberFormat="1" applyFont="1" applyBorder="1" applyAlignment="1">
      <alignment horizontal="center" vertical="center"/>
    </xf>
    <xf numFmtId="170" fontId="14" fillId="0" borderId="29" xfId="2" applyNumberFormat="1" applyFont="1" applyFill="1" applyBorder="1" applyAlignment="1">
      <alignment horizontal="center" vertical="center"/>
    </xf>
    <xf numFmtId="4" fontId="21" fillId="0" borderId="0" xfId="0" applyNumberFormat="1" applyFont="1" applyAlignment="1">
      <alignment vertical="center"/>
    </xf>
    <xf numFmtId="4" fontId="15" fillId="0" borderId="7" xfId="9" applyNumberFormat="1" applyFont="1" applyBorder="1" applyAlignment="1">
      <alignment horizontal="right" vertical="center"/>
    </xf>
    <xf numFmtId="166" fontId="14" fillId="0" borderId="66" xfId="0" applyNumberFormat="1" applyFont="1" applyBorder="1" applyAlignment="1">
      <alignment vertical="center"/>
    </xf>
    <xf numFmtId="174" fontId="13" fillId="0" borderId="95" xfId="2" applyNumberFormat="1" applyFont="1" applyFill="1" applyBorder="1" applyAlignment="1">
      <alignment vertical="center"/>
    </xf>
    <xf numFmtId="166" fontId="14" fillId="0" borderId="0" xfId="2" applyFont="1" applyFill="1" applyBorder="1" applyAlignment="1">
      <alignment vertical="center"/>
    </xf>
    <xf numFmtId="166" fontId="14" fillId="0" borderId="9" xfId="2" applyFont="1" applyFill="1" applyBorder="1" applyAlignment="1">
      <alignment vertical="center"/>
    </xf>
    <xf numFmtId="166" fontId="21" fillId="0" borderId="0" xfId="2" applyFont="1" applyFill="1" applyBorder="1" applyAlignment="1">
      <alignment vertical="center"/>
    </xf>
    <xf numFmtId="167" fontId="23" fillId="0" borderId="0" xfId="1" applyFont="1" applyFill="1" applyBorder="1" applyAlignment="1">
      <alignment vertical="center"/>
    </xf>
    <xf numFmtId="167" fontId="15" fillId="0" borderId="10" xfId="1" applyFont="1" applyFill="1" applyBorder="1" applyAlignment="1">
      <alignment vertical="center"/>
    </xf>
    <xf numFmtId="167" fontId="15" fillId="0" borderId="7" xfId="1" applyFont="1" applyFill="1" applyBorder="1" applyAlignment="1">
      <alignment vertical="center"/>
    </xf>
    <xf numFmtId="167" fontId="16" fillId="0" borderId="7" xfId="1" applyFont="1" applyFill="1" applyBorder="1" applyAlignment="1">
      <alignment vertical="center"/>
    </xf>
    <xf numFmtId="167" fontId="22" fillId="0" borderId="0" xfId="1" applyFont="1" applyFill="1" applyBorder="1" applyAlignment="1">
      <alignment vertical="center"/>
    </xf>
    <xf numFmtId="0" fontId="13" fillId="0" borderId="121" xfId="0" applyFont="1" applyBorder="1" applyAlignment="1">
      <alignment horizontal="right" vertical="center"/>
    </xf>
    <xf numFmtId="166" fontId="14" fillId="0" borderId="120" xfId="2" applyFont="1" applyFill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4" fontId="15" fillId="0" borderId="13" xfId="0" applyNumberFormat="1" applyFont="1" applyBorder="1" applyAlignment="1">
      <alignment horizontal="right" vertical="center"/>
    </xf>
    <xf numFmtId="0" fontId="29" fillId="0" borderId="0" xfId="45" applyFont="1"/>
    <xf numFmtId="0" fontId="29" fillId="0" borderId="74" xfId="46" applyFont="1" applyBorder="1" applyAlignment="1">
      <alignment horizontal="center" vertical="center"/>
    </xf>
    <xf numFmtId="0" fontId="29" fillId="0" borderId="75" xfId="46" applyFont="1" applyBorder="1" applyAlignment="1">
      <alignment vertical="center"/>
    </xf>
    <xf numFmtId="0" fontId="29" fillId="0" borderId="75" xfId="46" applyFont="1" applyBorder="1" applyAlignment="1">
      <alignment horizontal="center" vertical="center"/>
    </xf>
    <xf numFmtId="0" fontId="29" fillId="0" borderId="76" xfId="46" applyFont="1" applyBorder="1" applyAlignment="1">
      <alignment vertical="center"/>
    </xf>
    <xf numFmtId="0" fontId="29" fillId="0" borderId="72" xfId="46" applyFont="1" applyBorder="1" applyAlignment="1">
      <alignment horizontal="center" vertical="center"/>
    </xf>
    <xf numFmtId="0" fontId="29" fillId="0" borderId="0" xfId="46" applyFont="1" applyAlignment="1">
      <alignment vertical="center"/>
    </xf>
    <xf numFmtId="0" fontId="29" fillId="0" borderId="0" xfId="46" applyFont="1" applyAlignment="1">
      <alignment horizontal="center" vertical="center"/>
    </xf>
    <xf numFmtId="0" fontId="29" fillId="0" borderId="77" xfId="46" applyFont="1" applyBorder="1" applyAlignment="1">
      <alignment vertical="center"/>
    </xf>
    <xf numFmtId="0" fontId="40" fillId="0" borderId="0" xfId="45" applyFont="1" applyAlignment="1">
      <alignment horizontal="center"/>
    </xf>
    <xf numFmtId="0" fontId="29" fillId="0" borderId="72" xfId="45" applyFont="1" applyBorder="1"/>
    <xf numFmtId="0" fontId="29" fillId="0" borderId="77" xfId="45" applyFont="1" applyBorder="1"/>
    <xf numFmtId="0" fontId="43" fillId="0" borderId="0" xfId="46" applyFont="1" applyAlignment="1">
      <alignment vertical="center"/>
    </xf>
    <xf numFmtId="0" fontId="42" fillId="0" borderId="0" xfId="3" applyNumberFormat="1" applyFont="1" applyAlignment="1">
      <alignment horizontal="center" vertical="center"/>
    </xf>
    <xf numFmtId="39" fontId="33" fillId="0" borderId="0" xfId="3" applyFont="1" applyAlignment="1">
      <alignment vertical="center"/>
    </xf>
    <xf numFmtId="0" fontId="33" fillId="0" borderId="0" xfId="3" applyNumberFormat="1" applyFont="1" applyAlignment="1">
      <alignment horizontal="center" vertical="center"/>
    </xf>
    <xf numFmtId="37" fontId="44" fillId="2" borderId="0" xfId="3" applyNumberFormat="1" applyFont="1" applyFill="1" applyAlignment="1">
      <alignment horizontal="center" vertical="center"/>
    </xf>
    <xf numFmtId="37" fontId="45" fillId="0" borderId="0" xfId="3" applyNumberFormat="1" applyFont="1" applyAlignment="1">
      <alignment horizontal="center" vertical="center"/>
    </xf>
    <xf numFmtId="37" fontId="46" fillId="0" borderId="0" xfId="3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33" fillId="0" borderId="0" xfId="3" applyNumberFormat="1" applyFont="1" applyAlignment="1">
      <alignment horizontal="center"/>
    </xf>
    <xf numFmtId="39" fontId="33" fillId="0" borderId="0" xfId="3" applyFont="1"/>
    <xf numFmtId="39" fontId="49" fillId="0" borderId="0" xfId="3" applyFont="1"/>
    <xf numFmtId="39" fontId="13" fillId="0" borderId="0" xfId="3" applyFont="1"/>
    <xf numFmtId="39" fontId="13" fillId="0" borderId="0" xfId="3" applyFont="1" applyAlignment="1">
      <alignment horizontal="center"/>
    </xf>
    <xf numFmtId="167" fontId="13" fillId="0" borderId="0" xfId="1" applyFont="1" applyFill="1"/>
    <xf numFmtId="0" fontId="50" fillId="0" borderId="74" xfId="16" applyFont="1" applyBorder="1" applyAlignment="1">
      <alignment vertical="center"/>
    </xf>
    <xf numFmtId="0" fontId="51" fillId="0" borderId="75" xfId="16" applyFont="1" applyBorder="1" applyAlignment="1">
      <alignment vertical="center"/>
    </xf>
    <xf numFmtId="39" fontId="51" fillId="0" borderId="75" xfId="16" applyNumberFormat="1" applyFont="1" applyBorder="1" applyAlignment="1">
      <alignment vertical="center"/>
    </xf>
    <xf numFmtId="0" fontId="51" fillId="0" borderId="76" xfId="16" applyFont="1" applyBorder="1" applyAlignment="1">
      <alignment vertical="center"/>
    </xf>
    <xf numFmtId="0" fontId="50" fillId="0" borderId="72" xfId="16" applyFont="1" applyBorder="1" applyAlignment="1">
      <alignment vertical="center"/>
    </xf>
    <xf numFmtId="0" fontId="51" fillId="0" borderId="0" xfId="16" applyFont="1" applyAlignment="1">
      <alignment vertical="center"/>
    </xf>
    <xf numFmtId="39" fontId="51" fillId="0" borderId="0" xfId="16" applyNumberFormat="1" applyFont="1" applyAlignment="1">
      <alignment vertical="center"/>
    </xf>
    <xf numFmtId="0" fontId="51" fillId="0" borderId="77" xfId="16" applyFont="1" applyBorder="1" applyAlignment="1">
      <alignment vertical="center"/>
    </xf>
    <xf numFmtId="0" fontId="51" fillId="0" borderId="72" xfId="16" applyFont="1" applyBorder="1" applyAlignment="1">
      <alignment vertical="center"/>
    </xf>
    <xf numFmtId="39" fontId="52" fillId="0" borderId="78" xfId="16" applyNumberFormat="1" applyFont="1" applyBorder="1" applyAlignment="1" applyProtection="1">
      <alignment horizontal="center" vertical="center"/>
      <protection locked="0"/>
    </xf>
    <xf numFmtId="0" fontId="51" fillId="0" borderId="0" xfId="16" applyFont="1" applyAlignment="1" applyProtection="1">
      <alignment vertical="center"/>
      <protection locked="0"/>
    </xf>
    <xf numFmtId="0" fontId="51" fillId="0" borderId="72" xfId="16" applyFont="1" applyBorder="1" applyAlignment="1">
      <alignment horizontal="right" vertical="center"/>
    </xf>
    <xf numFmtId="0" fontId="52" fillId="0" borderId="79" xfId="16" applyFont="1" applyBorder="1" applyAlignment="1">
      <alignment horizontal="left" vertical="center"/>
    </xf>
    <xf numFmtId="0" fontId="51" fillId="0" borderId="80" xfId="16" applyFont="1" applyBorder="1" applyAlignment="1">
      <alignment vertical="center"/>
    </xf>
    <xf numFmtId="0" fontId="52" fillId="0" borderId="81" xfId="16" applyFont="1" applyBorder="1" applyAlignment="1">
      <alignment vertical="center"/>
    </xf>
    <xf numFmtId="0" fontId="51" fillId="0" borderId="82" xfId="16" applyFont="1" applyBorder="1" applyAlignment="1">
      <alignment vertical="center"/>
    </xf>
    <xf numFmtId="0" fontId="52" fillId="0" borderId="0" xfId="16" applyFont="1" applyAlignment="1">
      <alignment horizontal="fill" vertical="center"/>
    </xf>
    <xf numFmtId="0" fontId="52" fillId="0" borderId="83" xfId="16" applyFont="1" applyBorder="1" applyAlignment="1">
      <alignment vertical="center"/>
    </xf>
    <xf numFmtId="0" fontId="51" fillId="0" borderId="84" xfId="16" applyFont="1" applyBorder="1" applyAlignment="1">
      <alignment vertical="center"/>
    </xf>
    <xf numFmtId="0" fontId="51" fillId="0" borderId="0" xfId="16" applyFont="1" applyAlignment="1">
      <alignment horizontal="fill" vertical="center"/>
    </xf>
    <xf numFmtId="0" fontId="52" fillId="0" borderId="72" xfId="16" applyFont="1" applyBorder="1" applyAlignment="1">
      <alignment horizontal="right" vertical="center"/>
    </xf>
    <xf numFmtId="0" fontId="51" fillId="0" borderId="85" xfId="16" applyFont="1" applyBorder="1" applyAlignment="1">
      <alignment vertical="center"/>
    </xf>
    <xf numFmtId="0" fontId="51" fillId="0" borderId="86" xfId="16" applyFont="1" applyBorder="1" applyAlignment="1">
      <alignment vertical="center"/>
    </xf>
    <xf numFmtId="0" fontId="51" fillId="0" borderId="3" xfId="16" applyFont="1" applyBorder="1" applyAlignment="1">
      <alignment vertical="center"/>
    </xf>
    <xf numFmtId="0" fontId="51" fillId="0" borderId="1" xfId="16" applyFont="1" applyBorder="1" applyAlignment="1">
      <alignment vertical="center"/>
    </xf>
    <xf numFmtId="0" fontId="51" fillId="0" borderId="2" xfId="16" applyFont="1" applyBorder="1" applyAlignment="1">
      <alignment vertical="center"/>
    </xf>
    <xf numFmtId="0" fontId="51" fillId="0" borderId="4" xfId="16" applyFont="1" applyBorder="1" applyAlignment="1">
      <alignment vertical="center"/>
    </xf>
    <xf numFmtId="0" fontId="51" fillId="0" borderId="0" xfId="16" applyFont="1" applyAlignment="1">
      <alignment horizontal="center" vertical="center"/>
    </xf>
    <xf numFmtId="0" fontId="51" fillId="0" borderId="87" xfId="16" applyFont="1" applyBorder="1" applyAlignment="1">
      <alignment vertical="center"/>
    </xf>
    <xf numFmtId="0" fontId="51" fillId="0" borderId="88" xfId="16" applyFont="1" applyBorder="1" applyAlignment="1">
      <alignment vertical="center"/>
    </xf>
    <xf numFmtId="0" fontId="51" fillId="0" borderId="89" xfId="16" applyFont="1" applyBorder="1" applyAlignment="1">
      <alignment vertical="center"/>
    </xf>
    <xf numFmtId="0" fontId="51" fillId="0" borderId="90" xfId="16" applyFont="1" applyBorder="1" applyAlignment="1">
      <alignment vertical="center"/>
    </xf>
    <xf numFmtId="0" fontId="51" fillId="0" borderId="91" xfId="16" applyFont="1" applyBorder="1" applyAlignment="1">
      <alignment vertical="center"/>
    </xf>
    <xf numFmtId="0" fontId="29" fillId="0" borderId="0" xfId="9" applyFont="1" applyAlignment="1">
      <alignment vertical="center"/>
    </xf>
    <xf numFmtId="0" fontId="29" fillId="0" borderId="0" xfId="0" applyFont="1" applyAlignment="1">
      <alignment vertical="center"/>
    </xf>
    <xf numFmtId="166" fontId="29" fillId="0" borderId="0" xfId="2" applyFont="1" applyFill="1" applyAlignment="1">
      <alignment horizontal="center" vertical="center"/>
    </xf>
    <xf numFmtId="174" fontId="29" fillId="0" borderId="0" xfId="0" applyNumberFormat="1" applyFont="1" applyAlignment="1">
      <alignment vertical="center"/>
    </xf>
    <xf numFmtId="166" fontId="13" fillId="0" borderId="0" xfId="2" applyFont="1" applyFill="1" applyBorder="1" applyAlignment="1">
      <alignment vertical="center"/>
    </xf>
    <xf numFmtId="0" fontId="14" fillId="0" borderId="24" xfId="0" applyFont="1" applyBorder="1" applyAlignment="1">
      <alignment horizontal="center" vertical="center" wrapText="1"/>
    </xf>
    <xf numFmtId="4" fontId="14" fillId="0" borderId="27" xfId="0" applyNumberFormat="1" applyFont="1" applyBorder="1" applyAlignment="1">
      <alignment horizontal="center" vertical="center" wrapText="1"/>
    </xf>
    <xf numFmtId="0" fontId="53" fillId="0" borderId="0" xfId="52" applyFont="1" applyAlignment="1">
      <alignment vertical="center"/>
    </xf>
    <xf numFmtId="9" fontId="53" fillId="0" borderId="0" xfId="1" applyNumberFormat="1" applyFont="1" applyFill="1" applyAlignment="1">
      <alignment vertical="center"/>
    </xf>
    <xf numFmtId="0" fontId="29" fillId="0" borderId="0" xfId="52" applyFont="1"/>
    <xf numFmtId="0" fontId="8" fillId="0" borderId="0" xfId="52" applyFont="1" applyAlignment="1">
      <alignment horizontal="left" vertical="center"/>
    </xf>
    <xf numFmtId="0" fontId="41" fillId="0" borderId="0" xfId="52" applyFont="1" applyAlignment="1">
      <alignment horizontal="left" vertical="center"/>
    </xf>
    <xf numFmtId="0" fontId="41" fillId="0" borderId="0" xfId="52" applyFont="1" applyAlignment="1">
      <alignment horizontal="left" vertical="center" wrapText="1"/>
    </xf>
    <xf numFmtId="167" fontId="8" fillId="0" borderId="0" xfId="1" applyFont="1" applyFill="1" applyAlignment="1">
      <alignment horizontal="left" vertical="center"/>
    </xf>
    <xf numFmtId="0" fontId="14" fillId="0" borderId="0" xfId="52" applyFont="1" applyAlignment="1">
      <alignment horizontal="left" vertical="center"/>
    </xf>
    <xf numFmtId="0" fontId="13" fillId="0" borderId="0" xfId="52" applyFont="1" applyAlignment="1">
      <alignment horizontal="left" vertical="center"/>
    </xf>
    <xf numFmtId="0" fontId="13" fillId="0" borderId="0" xfId="52" applyFont="1" applyAlignment="1">
      <alignment horizontal="left" vertical="center" wrapText="1"/>
    </xf>
    <xf numFmtId="167" fontId="14" fillId="0" borderId="0" xfId="1" applyFont="1" applyFill="1" applyAlignment="1">
      <alignment horizontal="left" vertical="center"/>
    </xf>
    <xf numFmtId="0" fontId="14" fillId="0" borderId="0" xfId="52" applyFont="1" applyAlignment="1">
      <alignment horizontal="center" vertical="center"/>
    </xf>
    <xf numFmtId="0" fontId="13" fillId="0" borderId="107" xfId="52" applyFont="1" applyBorder="1" applyAlignment="1">
      <alignment horizontal="center" vertical="center"/>
    </xf>
    <xf numFmtId="0" fontId="13" fillId="0" borderId="110" xfId="52" applyFont="1" applyBorder="1" applyAlignment="1">
      <alignment horizontal="center" vertical="center" wrapText="1"/>
    </xf>
    <xf numFmtId="167" fontId="14" fillId="0" borderId="0" xfId="1" applyFont="1" applyFill="1" applyAlignment="1">
      <alignment horizontal="center" vertical="center"/>
    </xf>
    <xf numFmtId="0" fontId="14" fillId="0" borderId="0" xfId="52" applyFont="1" applyAlignment="1">
      <alignment vertical="center"/>
    </xf>
    <xf numFmtId="0" fontId="13" fillId="0" borderId="108" xfId="52" applyFont="1" applyBorder="1" applyAlignment="1">
      <alignment vertical="center"/>
    </xf>
    <xf numFmtId="0" fontId="13" fillId="0" borderId="109" xfId="52" applyFont="1" applyBorder="1" applyAlignment="1">
      <alignment horizontal="justify" vertical="center" wrapText="1"/>
    </xf>
    <xf numFmtId="0" fontId="14" fillId="0" borderId="110" xfId="52" applyFont="1" applyBorder="1" applyAlignment="1">
      <alignment horizontal="center" vertical="center" wrapText="1"/>
    </xf>
    <xf numFmtId="0" fontId="13" fillId="0" borderId="110" xfId="52" applyFont="1" applyBorder="1" applyAlignment="1">
      <alignment horizontal="justify" vertical="center" wrapText="1"/>
    </xf>
    <xf numFmtId="167" fontId="14" fillId="0" borderId="0" xfId="1" applyFont="1" applyFill="1" applyAlignment="1">
      <alignment vertical="center"/>
    </xf>
    <xf numFmtId="171" fontId="13" fillId="0" borderId="110" xfId="52" applyNumberFormat="1" applyFont="1" applyBorder="1" applyAlignment="1">
      <alignment horizontal="center" vertical="center" wrapText="1"/>
    </xf>
    <xf numFmtId="175" fontId="46" fillId="0" borderId="110" xfId="52" applyNumberFormat="1" applyFont="1" applyBorder="1" applyAlignment="1">
      <alignment horizontal="justify" vertical="center" wrapText="1"/>
    </xf>
    <xf numFmtId="175" fontId="13" fillId="0" borderId="110" xfId="52" applyNumberFormat="1" applyFont="1" applyBorder="1" applyAlignment="1">
      <alignment horizontal="justify" vertical="center" wrapText="1"/>
    </xf>
    <xf numFmtId="0" fontId="13" fillId="0" borderId="108" xfId="52" applyFont="1" applyBorder="1" applyAlignment="1">
      <alignment horizontal="justify" vertical="center"/>
    </xf>
    <xf numFmtId="175" fontId="13" fillId="0" borderId="110" xfId="52" applyNumberFormat="1" applyFont="1" applyBorder="1" applyAlignment="1">
      <alignment horizontal="center" vertical="center" wrapText="1"/>
    </xf>
    <xf numFmtId="0" fontId="13" fillId="0" borderId="8" xfId="52" applyFont="1" applyBorder="1" applyAlignment="1">
      <alignment vertical="center"/>
    </xf>
    <xf numFmtId="0" fontId="54" fillId="0" borderId="110" xfId="52" applyFont="1" applyBorder="1" applyAlignment="1">
      <alignment horizontal="justify" vertical="center" wrapText="1"/>
    </xf>
    <xf numFmtId="9" fontId="13" fillId="0" borderId="110" xfId="28" applyFont="1" applyFill="1" applyBorder="1" applyAlignment="1">
      <alignment horizontal="center" vertical="center" wrapText="1"/>
    </xf>
    <xf numFmtId="0" fontId="13" fillId="0" borderId="18" xfId="52" applyFont="1" applyBorder="1" applyAlignment="1">
      <alignment horizontal="justify" vertical="center" wrapText="1"/>
    </xf>
    <xf numFmtId="175" fontId="13" fillId="0" borderId="18" xfId="52" applyNumberFormat="1" applyFont="1" applyBorder="1" applyAlignment="1">
      <alignment horizontal="justify" vertical="center" wrapText="1"/>
    </xf>
    <xf numFmtId="175" fontId="13" fillId="0" borderId="111" xfId="52" applyNumberFormat="1" applyFont="1" applyBorder="1" applyAlignment="1">
      <alignment horizontal="justify" vertical="center" wrapText="1"/>
    </xf>
    <xf numFmtId="0" fontId="13" fillId="0" borderId="0" xfId="52" applyFont="1" applyAlignment="1">
      <alignment horizontal="center" vertical="center" wrapText="1"/>
    </xf>
    <xf numFmtId="0" fontId="13" fillId="0" borderId="0" xfId="52" applyFont="1" applyAlignment="1">
      <alignment vertical="center"/>
    </xf>
    <xf numFmtId="0" fontId="13" fillId="0" borderId="0" xfId="52" applyFont="1" applyAlignment="1">
      <alignment horizontal="justify" vertical="center" wrapText="1"/>
    </xf>
    <xf numFmtId="175" fontId="13" fillId="0" borderId="0" xfId="52" applyNumberFormat="1" applyFont="1" applyAlignment="1">
      <alignment horizontal="justify" vertical="center" wrapText="1"/>
    </xf>
    <xf numFmtId="169" fontId="55" fillId="0" borderId="110" xfId="52" applyNumberFormat="1" applyFont="1" applyBorder="1" applyAlignment="1">
      <alignment horizontal="justify" vertical="center" wrapText="1"/>
    </xf>
    <xf numFmtId="0" fontId="13" fillId="0" borderId="0" xfId="52" applyFont="1" applyAlignment="1">
      <alignment vertical="center" wrapText="1"/>
    </xf>
    <xf numFmtId="42" fontId="13" fillId="0" borderId="110" xfId="52" applyNumberFormat="1" applyFont="1" applyBorder="1" applyAlignment="1">
      <alignment horizontal="justify" vertical="center" wrapText="1"/>
    </xf>
    <xf numFmtId="0" fontId="48" fillId="0" borderId="0" xfId="52" applyFont="1"/>
    <xf numFmtId="175" fontId="13" fillId="0" borderId="110" xfId="52" applyNumberFormat="1" applyFont="1" applyBorder="1" applyAlignment="1">
      <alignment horizontal="right" vertical="center" wrapText="1"/>
    </xf>
    <xf numFmtId="167" fontId="13" fillId="0" borderId="110" xfId="1" applyFont="1" applyFill="1" applyBorder="1" applyAlignment="1">
      <alignment horizontal="center" vertical="center" wrapText="1"/>
    </xf>
    <xf numFmtId="0" fontId="15" fillId="0" borderId="110" xfId="52" applyFont="1" applyBorder="1" applyAlignment="1">
      <alignment horizontal="justify" vertical="center" wrapText="1"/>
    </xf>
    <xf numFmtId="0" fontId="31" fillId="0" borderId="0" xfId="52" applyFont="1" applyAlignment="1">
      <alignment vertical="center"/>
    </xf>
    <xf numFmtId="0" fontId="32" fillId="0" borderId="0" xfId="52" applyFont="1" applyAlignment="1">
      <alignment horizontal="center" vertical="center" wrapText="1"/>
    </xf>
    <xf numFmtId="0" fontId="32" fillId="0" borderId="0" xfId="52" applyFont="1" applyAlignment="1">
      <alignment vertical="center"/>
    </xf>
    <xf numFmtId="0" fontId="32" fillId="0" borderId="0" xfId="52" applyFont="1" applyAlignment="1">
      <alignment horizontal="justify" vertical="center" wrapText="1"/>
    </xf>
    <xf numFmtId="175" fontId="32" fillId="0" borderId="0" xfId="52" applyNumberFormat="1" applyFont="1" applyAlignment="1">
      <alignment horizontal="justify" vertical="center" wrapText="1"/>
    </xf>
    <xf numFmtId="175" fontId="32" fillId="0" borderId="0" xfId="52" applyNumberFormat="1" applyFont="1" applyAlignment="1">
      <alignment horizontal="right" vertical="center" wrapText="1"/>
    </xf>
    <xf numFmtId="167" fontId="31" fillId="0" borderId="0" xfId="1" applyFont="1" applyFill="1" applyAlignment="1">
      <alignment vertical="center"/>
    </xf>
    <xf numFmtId="0" fontId="13" fillId="0" borderId="18" xfId="52" applyFont="1" applyBorder="1" applyAlignment="1">
      <alignment vertical="center"/>
    </xf>
    <xf numFmtId="168" fontId="55" fillId="0" borderId="110" xfId="52" applyNumberFormat="1" applyFont="1" applyBorder="1" applyAlignment="1">
      <alignment horizontal="center" vertical="center" wrapText="1"/>
    </xf>
    <xf numFmtId="175" fontId="46" fillId="0" borderId="0" xfId="52" applyNumberFormat="1" applyFont="1" applyAlignment="1">
      <alignment horizontal="justify" vertical="center" wrapText="1"/>
    </xf>
    <xf numFmtId="0" fontId="13" fillId="0" borderId="107" xfId="52" applyFont="1" applyBorder="1" applyAlignment="1">
      <alignment horizontal="left" vertical="center"/>
    </xf>
    <xf numFmtId="0" fontId="13" fillId="0" borderId="108" xfId="9" applyFont="1" applyBorder="1" applyAlignment="1">
      <alignment vertical="center"/>
    </xf>
    <xf numFmtId="0" fontId="13" fillId="0" borderId="109" xfId="9" applyFont="1" applyBorder="1" applyAlignment="1">
      <alignment horizontal="justify" vertical="center" wrapText="1"/>
    </xf>
    <xf numFmtId="169" fontId="13" fillId="0" borderId="110" xfId="9" applyNumberFormat="1" applyFont="1" applyBorder="1" applyAlignment="1">
      <alignment horizontal="justify" vertical="center" wrapText="1"/>
    </xf>
    <xf numFmtId="169" fontId="13" fillId="0" borderId="110" xfId="9" applyNumberFormat="1" applyFont="1" applyBorder="1" applyAlignment="1">
      <alignment horizontal="left" vertical="center" wrapText="1"/>
    </xf>
    <xf numFmtId="167" fontId="14" fillId="0" borderId="0" xfId="1" applyFont="1" applyAlignment="1">
      <alignment vertical="center"/>
    </xf>
    <xf numFmtId="171" fontId="13" fillId="0" borderId="110" xfId="9" applyNumberFormat="1" applyFont="1" applyBorder="1" applyAlignment="1">
      <alignment horizontal="center" vertical="center" wrapText="1"/>
    </xf>
    <xf numFmtId="171" fontId="13" fillId="0" borderId="110" xfId="9" applyNumberFormat="1" applyFont="1" applyBorder="1" applyAlignment="1">
      <alignment horizontal="center" vertical="center"/>
    </xf>
    <xf numFmtId="0" fontId="13" fillId="0" borderId="110" xfId="9" applyFont="1" applyBorder="1" applyAlignment="1">
      <alignment vertical="center" wrapText="1"/>
    </xf>
    <xf numFmtId="0" fontId="13" fillId="0" borderId="110" xfId="9" applyFont="1" applyBorder="1" applyAlignment="1">
      <alignment horizontal="center" vertical="center"/>
    </xf>
    <xf numFmtId="0" fontId="13" fillId="0" borderId="110" xfId="52" applyFont="1" applyBorder="1" applyAlignment="1">
      <alignment vertical="center"/>
    </xf>
    <xf numFmtId="169" fontId="13" fillId="0" borderId="110" xfId="9" applyNumberFormat="1" applyFont="1" applyBorder="1" applyAlignment="1">
      <alignment horizontal="center" vertical="center" wrapText="1"/>
    </xf>
    <xf numFmtId="0" fontId="46" fillId="0" borderId="110" xfId="52" applyFont="1" applyBorder="1" applyAlignment="1">
      <alignment horizontal="center" vertical="center" wrapText="1"/>
    </xf>
    <xf numFmtId="0" fontId="46" fillId="0" borderId="108" xfId="52" applyFont="1" applyBorder="1" applyAlignment="1">
      <alignment vertical="center"/>
    </xf>
    <xf numFmtId="0" fontId="46" fillId="0" borderId="109" xfId="52" applyFont="1" applyBorder="1" applyAlignment="1">
      <alignment horizontal="justify" vertical="center" wrapText="1"/>
    </xf>
    <xf numFmtId="0" fontId="57" fillId="0" borderId="110" xfId="52" applyFont="1" applyBorder="1" applyAlignment="1">
      <alignment horizontal="justify" vertical="center" wrapText="1"/>
    </xf>
    <xf numFmtId="0" fontId="13" fillId="0" borderId="0" xfId="9" applyFont="1" applyAlignment="1">
      <alignment horizontal="center" vertical="center" wrapText="1"/>
    </xf>
    <xf numFmtId="0" fontId="13" fillId="0" borderId="0" xfId="9" applyFont="1" applyAlignment="1">
      <alignment vertical="center"/>
    </xf>
    <xf numFmtId="0" fontId="13" fillId="0" borderId="0" xfId="9" applyFont="1" applyAlignment="1">
      <alignment horizontal="justify" vertical="center" wrapText="1"/>
    </xf>
    <xf numFmtId="169" fontId="13" fillId="0" borderId="0" xfId="9" applyNumberFormat="1" applyFont="1" applyAlignment="1">
      <alignment horizontal="justify" vertical="center" wrapText="1"/>
    </xf>
    <xf numFmtId="169" fontId="13" fillId="0" borderId="0" xfId="9" applyNumberFormat="1" applyFont="1" applyAlignment="1">
      <alignment horizontal="left" vertical="center" wrapText="1"/>
    </xf>
    <xf numFmtId="175" fontId="13" fillId="0" borderId="0" xfId="52" applyNumberFormat="1" applyFont="1" applyAlignment="1">
      <alignment horizontal="right" vertical="center" wrapText="1"/>
    </xf>
    <xf numFmtId="0" fontId="14" fillId="0" borderId="108" xfId="52" applyFont="1" applyBorder="1" applyAlignment="1">
      <alignment horizontal="justify" vertical="center"/>
    </xf>
    <xf numFmtId="0" fontId="14" fillId="0" borderId="109" xfId="52" applyFont="1" applyBorder="1" applyAlignment="1">
      <alignment horizontal="justify" vertical="center" wrapText="1"/>
    </xf>
    <xf numFmtId="0" fontId="54" fillId="0" borderId="0" xfId="52" applyFont="1" applyAlignment="1">
      <alignment horizontal="justify" vertical="center" wrapText="1"/>
    </xf>
    <xf numFmtId="0" fontId="33" fillId="0" borderId="0" xfId="52" applyFont="1" applyAlignment="1">
      <alignment vertical="center"/>
    </xf>
    <xf numFmtId="0" fontId="33" fillId="0" borderId="110" xfId="52" applyFont="1" applyBorder="1" applyAlignment="1">
      <alignment horizontal="center" vertical="center"/>
    </xf>
    <xf numFmtId="0" fontId="33" fillId="0" borderId="108" xfId="52" applyFont="1" applyBorder="1" applyAlignment="1">
      <alignment horizontal="left" vertical="center"/>
    </xf>
    <xf numFmtId="0" fontId="33" fillId="0" borderId="109" xfId="52" applyFont="1" applyBorder="1" applyAlignment="1">
      <alignment horizontal="left" vertical="center"/>
    </xf>
    <xf numFmtId="0" fontId="47" fillId="0" borderId="110" xfId="52" applyFont="1" applyBorder="1" applyAlignment="1">
      <alignment horizontal="center" vertical="center"/>
    </xf>
    <xf numFmtId="169" fontId="33" fillId="0" borderId="110" xfId="52" applyNumberFormat="1" applyFont="1" applyBorder="1" applyAlignment="1">
      <alignment horizontal="justify" vertical="center" wrapText="1"/>
    </xf>
    <xf numFmtId="169" fontId="33" fillId="0" borderId="110" xfId="52" applyNumberFormat="1" applyFont="1" applyBorder="1" applyAlignment="1">
      <alignment horizontal="justify" vertical="center"/>
    </xf>
    <xf numFmtId="169" fontId="33" fillId="0" borderId="110" xfId="52" applyNumberFormat="1" applyFont="1" applyBorder="1" applyAlignment="1">
      <alignment horizontal="left" vertical="center"/>
    </xf>
    <xf numFmtId="0" fontId="33" fillId="0" borderId="108" xfId="52" applyFont="1" applyBorder="1" applyAlignment="1">
      <alignment vertical="center"/>
    </xf>
    <xf numFmtId="0" fontId="33" fillId="0" borderId="109" xfId="52" applyFont="1" applyBorder="1" applyAlignment="1">
      <alignment vertical="center" wrapText="1"/>
    </xf>
    <xf numFmtId="176" fontId="33" fillId="0" borderId="110" xfId="1" applyNumberFormat="1" applyFont="1" applyBorder="1" applyAlignment="1">
      <alignment horizontal="center" vertical="center"/>
    </xf>
    <xf numFmtId="0" fontId="33" fillId="0" borderId="18" xfId="52" applyFont="1" applyBorder="1" applyAlignment="1">
      <alignment vertical="center"/>
    </xf>
    <xf numFmtId="0" fontId="33" fillId="0" borderId="110" xfId="52" applyFont="1" applyBorder="1" applyAlignment="1">
      <alignment vertical="center"/>
    </xf>
    <xf numFmtId="0" fontId="59" fillId="0" borderId="108" xfId="52" applyFont="1" applyBorder="1" applyAlignment="1">
      <alignment vertical="center"/>
    </xf>
    <xf numFmtId="0" fontId="59" fillId="0" borderId="18" xfId="52" applyFont="1" applyBorder="1" applyAlignment="1">
      <alignment vertical="center"/>
    </xf>
    <xf numFmtId="0" fontId="59" fillId="0" borderId="110" xfId="52" applyFont="1" applyBorder="1" applyAlignment="1">
      <alignment vertical="center"/>
    </xf>
    <xf numFmtId="0" fontId="33" fillId="0" borderId="112" xfId="52" applyFont="1" applyBorder="1" applyAlignment="1">
      <alignment horizontal="center" vertical="center"/>
    </xf>
    <xf numFmtId="0" fontId="33" fillId="0" borderId="113" xfId="52" applyFont="1" applyBorder="1" applyAlignment="1">
      <alignment vertical="center"/>
    </xf>
    <xf numFmtId="0" fontId="33" fillId="0" borderId="114" xfId="52" applyFont="1" applyBorder="1" applyAlignment="1">
      <alignment vertical="center" wrapText="1"/>
    </xf>
    <xf numFmtId="169" fontId="33" fillId="0" borderId="115" xfId="52" applyNumberFormat="1" applyFont="1" applyBorder="1" applyAlignment="1">
      <alignment horizontal="justify" vertical="center"/>
    </xf>
    <xf numFmtId="0" fontId="33" fillId="0" borderId="0" xfId="52" applyFont="1" applyAlignment="1">
      <alignment horizontal="center" vertical="center"/>
    </xf>
    <xf numFmtId="0" fontId="33" fillId="0" borderId="0" xfId="52" applyFont="1" applyAlignment="1">
      <alignment vertical="center" wrapText="1"/>
    </xf>
    <xf numFmtId="169" fontId="33" fillId="0" borderId="0" xfId="52" applyNumberFormat="1" applyFont="1" applyAlignment="1">
      <alignment horizontal="justify" vertical="center"/>
    </xf>
    <xf numFmtId="0" fontId="14" fillId="0" borderId="0" xfId="9" applyFont="1" applyAlignment="1">
      <alignment vertical="center"/>
    </xf>
    <xf numFmtId="0" fontId="46" fillId="0" borderId="110" xfId="52" applyFont="1" applyBorder="1" applyAlignment="1">
      <alignment horizontal="center" vertical="center"/>
    </xf>
    <xf numFmtId="0" fontId="45" fillId="0" borderId="110" xfId="52" applyFont="1" applyBorder="1" applyAlignment="1">
      <alignment horizontal="justify" vertical="center" wrapText="1"/>
    </xf>
    <xf numFmtId="0" fontId="46" fillId="0" borderId="110" xfId="52" applyFont="1" applyBorder="1" applyAlignment="1">
      <alignment horizontal="left" vertical="center" wrapText="1"/>
    </xf>
    <xf numFmtId="167" fontId="14" fillId="0" borderId="0" xfId="42" applyFont="1" applyAlignment="1">
      <alignment vertical="center"/>
    </xf>
    <xf numFmtId="168" fontId="46" fillId="0" borderId="110" xfId="52" applyNumberFormat="1" applyFont="1" applyBorder="1" applyAlignment="1">
      <alignment horizontal="center" vertical="center" wrapText="1"/>
    </xf>
    <xf numFmtId="175" fontId="46" fillId="0" borderId="110" xfId="52" applyNumberFormat="1" applyFont="1" applyBorder="1" applyAlignment="1">
      <alignment horizontal="left" vertical="center" wrapText="1"/>
    </xf>
    <xf numFmtId="175" fontId="46" fillId="0" borderId="110" xfId="52" applyNumberFormat="1" applyFont="1" applyBorder="1" applyAlignment="1">
      <alignment horizontal="center" vertical="center" wrapText="1"/>
    </xf>
    <xf numFmtId="171" fontId="46" fillId="0" borderId="110" xfId="52" applyNumberFormat="1" applyFont="1" applyBorder="1" applyAlignment="1">
      <alignment horizontal="center" vertical="center" wrapText="1"/>
    </xf>
    <xf numFmtId="0" fontId="33" fillId="0" borderId="108" xfId="9" applyFont="1" applyBorder="1" applyAlignment="1">
      <alignment horizontal="left" vertical="center"/>
    </xf>
    <xf numFmtId="0" fontId="46" fillId="0" borderId="109" xfId="52" applyFont="1" applyBorder="1" applyAlignment="1">
      <alignment vertical="center"/>
    </xf>
    <xf numFmtId="171" fontId="46" fillId="0" borderId="110" xfId="52" applyNumberFormat="1" applyFont="1" applyBorder="1" applyAlignment="1">
      <alignment horizontal="center" vertical="center"/>
    </xf>
    <xf numFmtId="0" fontId="46" fillId="0" borderId="110" xfId="52" applyFont="1" applyBorder="1" applyAlignment="1">
      <alignment horizontal="justify" vertical="center" wrapText="1"/>
    </xf>
    <xf numFmtId="0" fontId="46" fillId="0" borderId="0" xfId="52" applyFont="1" applyAlignment="1">
      <alignment horizontal="center" vertical="center" wrapText="1"/>
    </xf>
    <xf numFmtId="0" fontId="46" fillId="0" borderId="0" xfId="52" applyFont="1" applyAlignment="1">
      <alignment vertical="center"/>
    </xf>
    <xf numFmtId="0" fontId="46" fillId="0" borderId="0" xfId="52" applyFont="1" applyAlignment="1">
      <alignment horizontal="justify" vertical="center" wrapText="1"/>
    </xf>
    <xf numFmtId="175" fontId="46" fillId="0" borderId="0" xfId="52" applyNumberFormat="1" applyFont="1" applyAlignment="1">
      <alignment horizontal="left" vertical="center" wrapText="1"/>
    </xf>
    <xf numFmtId="0" fontId="13" fillId="0" borderId="0" xfId="52" applyFont="1" applyAlignment="1">
      <alignment horizontal="center" vertical="center"/>
    </xf>
    <xf numFmtId="169" fontId="13" fillId="0" borderId="0" xfId="52" applyNumberFormat="1" applyFont="1" applyAlignment="1">
      <alignment vertical="center" wrapText="1"/>
    </xf>
    <xf numFmtId="169" fontId="13" fillId="0" borderId="0" xfId="52" applyNumberFormat="1" applyFont="1" applyAlignment="1">
      <alignment vertical="center"/>
    </xf>
    <xf numFmtId="167" fontId="14" fillId="0" borderId="0" xfId="8" applyFont="1" applyFill="1" applyAlignment="1">
      <alignment vertical="center"/>
    </xf>
    <xf numFmtId="0" fontId="60" fillId="0" borderId="110" xfId="52" applyFont="1" applyBorder="1" applyAlignment="1">
      <alignment horizontal="center" vertical="center" wrapText="1"/>
    </xf>
    <xf numFmtId="0" fontId="55" fillId="0" borderId="110" xfId="52" applyFont="1" applyBorder="1" applyAlignment="1">
      <alignment horizontal="center" vertical="center" wrapText="1"/>
    </xf>
    <xf numFmtId="171" fontId="55" fillId="0" borderId="110" xfId="52" applyNumberFormat="1" applyFont="1" applyBorder="1" applyAlignment="1">
      <alignment horizontal="center" vertical="center" wrapText="1"/>
    </xf>
    <xf numFmtId="169" fontId="55" fillId="0" borderId="110" xfId="52" applyNumberFormat="1" applyFont="1" applyBorder="1" applyAlignment="1">
      <alignment horizontal="center" vertical="center" wrapText="1"/>
    </xf>
    <xf numFmtId="169" fontId="29" fillId="0" borderId="6" xfId="52" applyNumberFormat="1" applyFont="1" applyBorder="1"/>
    <xf numFmtId="0" fontId="55" fillId="0" borderId="110" xfId="52" applyFont="1" applyBorder="1" applyAlignment="1">
      <alignment horizontal="justify" vertical="center" wrapText="1"/>
    </xf>
    <xf numFmtId="0" fontId="55" fillId="0" borderId="0" xfId="52" applyFont="1" applyAlignment="1">
      <alignment horizontal="justify" vertical="center" wrapText="1"/>
    </xf>
    <xf numFmtId="169" fontId="55" fillId="0" borderId="0" xfId="52" applyNumberFormat="1" applyFont="1" applyAlignment="1">
      <alignment horizontal="justify" vertical="center" wrapText="1"/>
    </xf>
    <xf numFmtId="167" fontId="14" fillId="0" borderId="0" xfId="8" applyFont="1" applyFill="1" applyAlignment="1">
      <alignment horizontal="left" vertical="center"/>
    </xf>
    <xf numFmtId="169" fontId="13" fillId="0" borderId="110" xfId="52" applyNumberFormat="1" applyFont="1" applyBorder="1" applyAlignment="1">
      <alignment horizontal="justify" vertical="center" wrapText="1"/>
    </xf>
    <xf numFmtId="169" fontId="13" fillId="0" borderId="110" xfId="52" applyNumberFormat="1" applyFont="1" applyBorder="1" applyAlignment="1">
      <alignment horizontal="right" vertical="center" wrapText="1"/>
    </xf>
    <xf numFmtId="169" fontId="13" fillId="0" borderId="110" xfId="52" applyNumberFormat="1" applyFont="1" applyBorder="1" applyAlignment="1">
      <alignment horizontal="center" vertical="center" wrapText="1"/>
    </xf>
    <xf numFmtId="169" fontId="13" fillId="0" borderId="0" xfId="52" applyNumberFormat="1" applyFont="1" applyAlignment="1">
      <alignment horizontal="justify" vertical="center" wrapText="1"/>
    </xf>
    <xf numFmtId="0" fontId="60" fillId="0" borderId="0" xfId="52" applyFont="1" applyAlignment="1">
      <alignment horizontal="left" vertical="center"/>
    </xf>
    <xf numFmtId="175" fontId="46" fillId="0" borderId="116" xfId="52" applyNumberFormat="1" applyFont="1" applyBorder="1" applyAlignment="1">
      <alignment horizontal="justify" vertical="center" wrapText="1"/>
    </xf>
    <xf numFmtId="175" fontId="46" fillId="0" borderId="117" xfId="52" applyNumberFormat="1" applyFont="1" applyBorder="1" applyAlignment="1">
      <alignment horizontal="justify" vertical="center" wrapText="1"/>
    </xf>
    <xf numFmtId="175" fontId="46" fillId="0" borderId="118" xfId="52" applyNumberFormat="1" applyFont="1" applyBorder="1" applyAlignment="1">
      <alignment horizontal="justify" vertical="center" wrapText="1"/>
    </xf>
    <xf numFmtId="175" fontId="13" fillId="0" borderId="110" xfId="52" applyNumberFormat="1" applyFont="1" applyBorder="1" applyAlignment="1">
      <alignment vertical="center" wrapText="1"/>
    </xf>
    <xf numFmtId="175" fontId="46" fillId="0" borderId="119" xfId="52" applyNumberFormat="1" applyFont="1" applyBorder="1" applyAlignment="1">
      <alignment horizontal="justify" vertical="center" wrapText="1"/>
    </xf>
    <xf numFmtId="176" fontId="13" fillId="0" borderId="110" xfId="1" applyNumberFormat="1" applyFont="1" applyFill="1" applyBorder="1" applyAlignment="1">
      <alignment horizontal="center" vertical="center" wrapText="1"/>
    </xf>
    <xf numFmtId="175" fontId="46" fillId="0" borderId="116" xfId="52" applyNumberFormat="1" applyFont="1" applyBorder="1" applyAlignment="1">
      <alignment horizontal="center" vertical="center" wrapText="1"/>
    </xf>
    <xf numFmtId="0" fontId="14" fillId="0" borderId="110" xfId="52" applyFont="1" applyBorder="1" applyAlignment="1">
      <alignment horizontal="center" vertical="center"/>
    </xf>
    <xf numFmtId="175" fontId="55" fillId="0" borderId="110" xfId="52" applyNumberFormat="1" applyFont="1" applyBorder="1" applyAlignment="1">
      <alignment horizontal="justify" vertical="center" wrapText="1"/>
    </xf>
    <xf numFmtId="0" fontId="13" fillId="0" borderId="110" xfId="52" applyFont="1" applyBorder="1" applyAlignment="1">
      <alignment horizontal="center" vertical="center"/>
    </xf>
    <xf numFmtId="171" fontId="13" fillId="0" borderId="110" xfId="52" applyNumberFormat="1" applyFont="1" applyBorder="1" applyAlignment="1">
      <alignment horizontal="center" vertical="center"/>
    </xf>
    <xf numFmtId="176" fontId="13" fillId="0" borderId="0" xfId="1" applyNumberFormat="1" applyFont="1" applyFill="1" applyAlignment="1">
      <alignment horizontal="center" vertical="center"/>
    </xf>
    <xf numFmtId="176" fontId="13" fillId="0" borderId="107" xfId="1" applyNumberFormat="1" applyFont="1" applyFill="1" applyBorder="1" applyAlignment="1">
      <alignment horizontal="center" vertical="center"/>
    </xf>
    <xf numFmtId="167" fontId="14" fillId="0" borderId="0" xfId="43" applyFont="1" applyFill="1" applyAlignment="1">
      <alignment vertical="center"/>
    </xf>
    <xf numFmtId="176" fontId="14" fillId="0" borderId="110" xfId="1" applyNumberFormat="1" applyFont="1" applyFill="1" applyBorder="1" applyAlignment="1">
      <alignment horizontal="center" vertical="center" wrapText="1"/>
    </xf>
    <xf numFmtId="176" fontId="13" fillId="0" borderId="108" xfId="1" applyNumberFormat="1" applyFont="1" applyFill="1" applyBorder="1" applyAlignment="1">
      <alignment horizontal="center" vertical="center"/>
    </xf>
    <xf numFmtId="175" fontId="13" fillId="0" borderId="0" xfId="52" applyNumberFormat="1" applyFont="1" applyAlignment="1">
      <alignment vertical="center" wrapText="1"/>
    </xf>
    <xf numFmtId="175" fontId="13" fillId="0" borderId="0" xfId="52" applyNumberFormat="1" applyFont="1" applyAlignment="1">
      <alignment vertical="center"/>
    </xf>
    <xf numFmtId="2" fontId="13" fillId="0" borderId="110" xfId="52" applyNumberFormat="1" applyFont="1" applyBorder="1" applyAlignment="1">
      <alignment horizontal="center" vertical="center" wrapText="1"/>
    </xf>
    <xf numFmtId="175" fontId="13" fillId="0" borderId="0" xfId="52" applyNumberFormat="1" applyFont="1" applyAlignment="1">
      <alignment horizontal="center" vertical="center" wrapText="1"/>
    </xf>
    <xf numFmtId="167" fontId="14" fillId="0" borderId="0" xfId="52" applyNumberFormat="1" applyFont="1" applyAlignment="1">
      <alignment vertical="center"/>
    </xf>
    <xf numFmtId="0" fontId="45" fillId="0" borderId="0" xfId="9" applyFont="1" applyAlignment="1">
      <alignment horizontal="left" vertical="center"/>
    </xf>
    <xf numFmtId="0" fontId="13" fillId="0" borderId="0" xfId="9" applyFont="1" applyAlignment="1">
      <alignment horizontal="left" vertical="center"/>
    </xf>
    <xf numFmtId="0" fontId="14" fillId="0" borderId="0" xfId="9" applyFont="1" applyAlignment="1">
      <alignment horizontal="left" vertical="center"/>
    </xf>
    <xf numFmtId="169" fontId="13" fillId="0" borderId="0" xfId="9" applyNumberFormat="1" applyFont="1" applyAlignment="1">
      <alignment horizontal="left" vertical="center"/>
    </xf>
    <xf numFmtId="167" fontId="14" fillId="0" borderId="0" xfId="42" applyFont="1" applyAlignment="1">
      <alignment horizontal="left" vertical="center"/>
    </xf>
    <xf numFmtId="0" fontId="31" fillId="0" borderId="0" xfId="9" applyFont="1" applyAlignment="1">
      <alignment vertical="center"/>
    </xf>
    <xf numFmtId="0" fontId="13" fillId="0" borderId="110" xfId="9" applyFont="1" applyBorder="1" applyAlignment="1">
      <alignment horizontal="center" vertical="center" wrapText="1"/>
    </xf>
    <xf numFmtId="0" fontId="55" fillId="0" borderId="110" xfId="9" applyFont="1" applyBorder="1" applyAlignment="1">
      <alignment horizontal="center" vertical="center" wrapText="1"/>
    </xf>
    <xf numFmtId="169" fontId="60" fillId="0" borderId="110" xfId="9" applyNumberFormat="1" applyFont="1" applyBorder="1" applyAlignment="1">
      <alignment horizontal="justify" vertical="center" wrapText="1"/>
    </xf>
    <xf numFmtId="169" fontId="55" fillId="0" borderId="110" xfId="9" applyNumberFormat="1" applyFont="1" applyBorder="1" applyAlignment="1">
      <alignment horizontal="left" vertical="center" wrapText="1"/>
    </xf>
    <xf numFmtId="171" fontId="55" fillId="0" borderId="110" xfId="9" applyNumberFormat="1" applyFont="1" applyBorder="1" applyAlignment="1">
      <alignment horizontal="center" vertical="center" wrapText="1"/>
    </xf>
    <xf numFmtId="2" fontId="55" fillId="0" borderId="110" xfId="9" applyNumberFormat="1" applyFont="1" applyBorder="1" applyAlignment="1">
      <alignment horizontal="center" vertical="center" wrapText="1"/>
    </xf>
    <xf numFmtId="169" fontId="55" fillId="0" borderId="110" xfId="9" applyNumberFormat="1" applyFont="1" applyBorder="1" applyAlignment="1">
      <alignment horizontal="justify" vertical="center" wrapText="1"/>
    </xf>
    <xf numFmtId="0" fontId="55" fillId="0" borderId="110" xfId="9" applyFont="1" applyBorder="1" applyAlignment="1">
      <alignment horizontal="justify" vertical="center" wrapText="1"/>
    </xf>
    <xf numFmtId="0" fontId="55" fillId="0" borderId="0" xfId="9" applyFont="1" applyAlignment="1">
      <alignment horizontal="justify" vertical="center" wrapText="1"/>
    </xf>
    <xf numFmtId="0" fontId="55" fillId="0" borderId="0" xfId="9" applyFont="1" applyAlignment="1">
      <alignment horizontal="center" vertical="center" wrapText="1"/>
    </xf>
    <xf numFmtId="169" fontId="55" fillId="0" borderId="0" xfId="9" applyNumberFormat="1" applyFont="1" applyAlignment="1">
      <alignment horizontal="justify" vertical="center" wrapText="1"/>
    </xf>
    <xf numFmtId="169" fontId="55" fillId="0" borderId="0" xfId="9" applyNumberFormat="1" applyFont="1" applyAlignment="1">
      <alignment horizontal="left" vertical="center" wrapText="1"/>
    </xf>
    <xf numFmtId="0" fontId="55" fillId="0" borderId="108" xfId="52" applyFont="1" applyBorder="1" applyAlignment="1">
      <alignment horizontal="justify" vertical="center"/>
    </xf>
    <xf numFmtId="0" fontId="55" fillId="0" borderId="109" xfId="52" applyFont="1" applyBorder="1" applyAlignment="1">
      <alignment horizontal="justify" vertical="center" wrapText="1"/>
    </xf>
    <xf numFmtId="0" fontId="60" fillId="0" borderId="108" xfId="52" applyFont="1" applyBorder="1" applyAlignment="1">
      <alignment horizontal="justify" vertical="center"/>
    </xf>
    <xf numFmtId="0" fontId="60" fillId="0" borderId="109" xfId="52" applyFont="1" applyBorder="1" applyAlignment="1">
      <alignment horizontal="justify" vertical="center" wrapText="1"/>
    </xf>
    <xf numFmtId="175" fontId="55" fillId="0" borderId="0" xfId="52" applyNumberFormat="1" applyFont="1" applyAlignment="1">
      <alignment horizontal="justify" vertical="center" wrapText="1"/>
    </xf>
    <xf numFmtId="0" fontId="13" fillId="0" borderId="0" xfId="52" applyFont="1" applyAlignment="1">
      <alignment horizontal="right"/>
    </xf>
    <xf numFmtId="0" fontId="13" fillId="0" borderId="0" xfId="52" applyFont="1"/>
    <xf numFmtId="169" fontId="13" fillId="0" borderId="5" xfId="52" applyNumberFormat="1" applyFont="1" applyBorder="1" applyAlignment="1">
      <alignment horizontal="right" vertical="center"/>
    </xf>
    <xf numFmtId="0" fontId="15" fillId="0" borderId="52" xfId="0" quotePrefix="1" applyFont="1" applyBorder="1" applyAlignment="1">
      <alignment horizontal="center" vertical="center"/>
    </xf>
    <xf numFmtId="170" fontId="15" fillId="0" borderId="58" xfId="2" quotePrefix="1" applyNumberFormat="1" applyFont="1" applyFill="1" applyBorder="1" applyAlignment="1">
      <alignment horizontal="center" vertical="center"/>
    </xf>
    <xf numFmtId="4" fontId="15" fillId="0" borderId="53" xfId="0" quotePrefix="1" applyNumberFormat="1" applyFont="1" applyBorder="1" applyAlignment="1">
      <alignment horizontal="center" vertical="center"/>
    </xf>
    <xf numFmtId="170" fontId="14" fillId="0" borderId="26" xfId="2" applyNumberFormat="1" applyFont="1" applyFill="1" applyBorder="1" applyAlignment="1">
      <alignment horizontal="center" vertical="center" wrapText="1"/>
    </xf>
    <xf numFmtId="177" fontId="55" fillId="0" borderId="110" xfId="52" applyNumberFormat="1" applyFont="1" applyBorder="1" applyAlignment="1">
      <alignment horizontal="center" vertical="center" wrapText="1"/>
    </xf>
    <xf numFmtId="0" fontId="13" fillId="0" borderId="108" xfId="52" applyFont="1" applyBorder="1" applyAlignment="1">
      <alignment horizontal="center" vertical="center"/>
    </xf>
    <xf numFmtId="0" fontId="13" fillId="0" borderId="109" xfId="52" applyFont="1" applyBorder="1" applyAlignment="1">
      <alignment horizontal="center" vertical="center"/>
    </xf>
    <xf numFmtId="0" fontId="46" fillId="0" borderId="108" xfId="52" applyFont="1" applyBorder="1" applyAlignment="1">
      <alignment horizontal="left" vertical="center"/>
    </xf>
    <xf numFmtId="0" fontId="46" fillId="0" borderId="109" xfId="52" applyFont="1" applyBorder="1" applyAlignment="1">
      <alignment horizontal="left" vertical="center"/>
    </xf>
    <xf numFmtId="0" fontId="46" fillId="0" borderId="108" xfId="52" applyFont="1" applyBorder="1" applyAlignment="1">
      <alignment horizontal="center" vertical="center"/>
    </xf>
    <xf numFmtId="0" fontId="46" fillId="0" borderId="109" xfId="52" applyFont="1" applyBorder="1" applyAlignment="1">
      <alignment horizontal="center" vertical="center"/>
    </xf>
    <xf numFmtId="0" fontId="53" fillId="0" borderId="0" xfId="52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2" fillId="0" borderId="72" xfId="46" applyFont="1" applyBorder="1" applyAlignment="1">
      <alignment horizontal="center" vertical="center"/>
    </xf>
    <xf numFmtId="0" fontId="62" fillId="0" borderId="0" xfId="46" applyFont="1" applyAlignment="1">
      <alignment vertical="center"/>
    </xf>
    <xf numFmtId="0" fontId="62" fillId="0" borderId="77" xfId="46" applyFont="1" applyBorder="1" applyAlignment="1">
      <alignment vertical="center"/>
    </xf>
    <xf numFmtId="0" fontId="6" fillId="0" borderId="0" xfId="45"/>
    <xf numFmtId="0" fontId="6" fillId="0" borderId="72" xfId="46" applyBorder="1" applyAlignment="1">
      <alignment horizontal="center" vertical="center"/>
    </xf>
    <xf numFmtId="0" fontId="6" fillId="0" borderId="0" xfId="46" applyAlignment="1">
      <alignment vertical="center"/>
    </xf>
    <xf numFmtId="0" fontId="64" fillId="0" borderId="0" xfId="46" applyFont="1" applyAlignment="1">
      <alignment horizontal="center" vertical="center"/>
    </xf>
    <xf numFmtId="0" fontId="6" fillId="0" borderId="77" xfId="46" applyBorder="1" applyAlignment="1">
      <alignment vertical="center"/>
    </xf>
    <xf numFmtId="0" fontId="65" fillId="0" borderId="72" xfId="46" applyFont="1" applyBorder="1" applyAlignment="1">
      <alignment vertical="center" wrapText="1"/>
    </xf>
    <xf numFmtId="0" fontId="65" fillId="0" borderId="0" xfId="46" applyFont="1" applyAlignment="1">
      <alignment vertical="center" wrapText="1"/>
    </xf>
    <xf numFmtId="0" fontId="6" fillId="0" borderId="0" xfId="46" applyAlignment="1">
      <alignment horizontal="center" vertical="center"/>
    </xf>
    <xf numFmtId="0" fontId="65" fillId="0" borderId="77" xfId="46" applyFont="1" applyBorder="1" applyAlignment="1">
      <alignment vertical="center" wrapText="1"/>
    </xf>
    <xf numFmtId="0" fontId="63" fillId="0" borderId="72" xfId="46" applyFont="1" applyBorder="1" applyAlignment="1">
      <alignment vertical="center" wrapText="1"/>
    </xf>
    <xf numFmtId="0" fontId="63" fillId="0" borderId="77" xfId="46" applyFont="1" applyBorder="1" applyAlignment="1">
      <alignment vertical="center" wrapText="1"/>
    </xf>
    <xf numFmtId="0" fontId="63" fillId="0" borderId="0" xfId="46" applyFont="1" applyAlignment="1">
      <alignment vertical="center" wrapText="1"/>
    </xf>
    <xf numFmtId="0" fontId="66" fillId="0" borderId="0" xfId="46" applyFont="1" applyAlignment="1">
      <alignment horizontal="center" vertical="center"/>
    </xf>
    <xf numFmtId="0" fontId="6" fillId="0" borderId="89" xfId="46" applyBorder="1" applyAlignment="1">
      <alignment horizontal="center" vertical="center"/>
    </xf>
    <xf numFmtId="0" fontId="6" fillId="0" borderId="90" xfId="46" applyBorder="1" applyAlignment="1">
      <alignment vertical="center"/>
    </xf>
    <xf numFmtId="0" fontId="6" fillId="0" borderId="90" xfId="46" applyBorder="1" applyAlignment="1">
      <alignment horizontal="center" vertical="center"/>
    </xf>
    <xf numFmtId="0" fontId="6" fillId="0" borderId="91" xfId="46" applyBorder="1" applyAlignment="1">
      <alignment vertical="center"/>
    </xf>
    <xf numFmtId="0" fontId="68" fillId="0" borderId="0" xfId="46" applyFont="1" applyAlignment="1">
      <alignment vertical="center"/>
    </xf>
    <xf numFmtId="0" fontId="70" fillId="0" borderId="0" xfId="46" applyFont="1" applyAlignment="1">
      <alignment horizontal="center" vertical="center"/>
    </xf>
    <xf numFmtId="0" fontId="7" fillId="0" borderId="0" xfId="46" applyFont="1" applyAlignment="1">
      <alignment horizontal="center" vertical="center"/>
    </xf>
    <xf numFmtId="0" fontId="50" fillId="0" borderId="75" xfId="16" applyFont="1" applyBorder="1" applyAlignment="1">
      <alignment vertical="center"/>
    </xf>
    <xf numFmtId="0" fontId="50" fillId="0" borderId="0" xfId="16" applyFont="1" applyAlignment="1">
      <alignment vertical="center"/>
    </xf>
    <xf numFmtId="0" fontId="51" fillId="0" borderId="0" xfId="16" applyFont="1" applyAlignment="1">
      <alignment horizontal="right" vertical="center"/>
    </xf>
    <xf numFmtId="0" fontId="52" fillId="0" borderId="0" xfId="16" applyFont="1" applyAlignment="1">
      <alignment horizontal="right" vertical="center"/>
    </xf>
    <xf numFmtId="39" fontId="33" fillId="0" borderId="0" xfId="3" applyFont="1" applyAlignment="1">
      <alignment horizontal="center"/>
    </xf>
    <xf numFmtId="167" fontId="33" fillId="0" borderId="0" xfId="1" applyFont="1" applyFill="1"/>
    <xf numFmtId="166" fontId="14" fillId="0" borderId="10" xfId="2" applyFont="1" applyFill="1" applyBorder="1" applyAlignment="1">
      <alignment vertical="center"/>
    </xf>
    <xf numFmtId="166" fontId="14" fillId="0" borderId="66" xfId="2" applyFont="1" applyFill="1" applyBorder="1" applyAlignment="1">
      <alignment vertical="center"/>
    </xf>
    <xf numFmtId="166" fontId="14" fillId="0" borderId="13" xfId="2" applyFont="1" applyFill="1" applyBorder="1" applyAlignment="1">
      <alignment vertical="center"/>
    </xf>
    <xf numFmtId="166" fontId="14" fillId="0" borderId="6" xfId="2" applyFont="1" applyFill="1" applyBorder="1" applyAlignment="1">
      <alignment horizontal="center" vertical="center"/>
    </xf>
    <xf numFmtId="0" fontId="14" fillId="5" borderId="28" xfId="0" applyFont="1" applyFill="1" applyBorder="1" applyAlignment="1">
      <alignment horizontal="center" vertical="center"/>
    </xf>
    <xf numFmtId="166" fontId="14" fillId="5" borderId="7" xfId="2" applyFont="1" applyFill="1" applyBorder="1" applyAlignment="1">
      <alignment vertical="center"/>
    </xf>
    <xf numFmtId="0" fontId="14" fillId="5" borderId="7" xfId="0" applyFont="1" applyFill="1" applyBorder="1" applyAlignment="1">
      <alignment vertical="center"/>
    </xf>
    <xf numFmtId="4" fontId="15" fillId="5" borderId="7" xfId="0" applyNumberFormat="1" applyFont="1" applyFill="1" applyBorder="1" applyAlignment="1">
      <alignment horizontal="right" vertical="center"/>
    </xf>
    <xf numFmtId="167" fontId="15" fillId="5" borderId="7" xfId="1" applyFont="1" applyFill="1" applyBorder="1" applyAlignment="1">
      <alignment vertical="center"/>
    </xf>
    <xf numFmtId="170" fontId="16" fillId="5" borderId="5" xfId="2" applyNumberFormat="1" applyFont="1" applyFill="1" applyBorder="1" applyAlignment="1">
      <alignment horizontal="right" vertical="center"/>
    </xf>
    <xf numFmtId="170" fontId="14" fillId="5" borderId="29" xfId="2" applyNumberFormat="1" applyFont="1" applyFill="1" applyBorder="1" applyAlignment="1">
      <alignment horizontal="center" vertical="center"/>
    </xf>
    <xf numFmtId="37" fontId="61" fillId="0" borderId="0" xfId="3" applyNumberFormat="1" applyFont="1" applyAlignment="1">
      <alignment horizontal="center" vertical="center"/>
    </xf>
    <xf numFmtId="167" fontId="15" fillId="5" borderId="7" xfId="1" applyFont="1" applyFill="1" applyBorder="1" applyAlignment="1">
      <alignment horizontal="center" vertical="center"/>
    </xf>
    <xf numFmtId="167" fontId="15" fillId="0" borderId="6" xfId="1" applyFont="1" applyFill="1" applyBorder="1" applyAlignment="1">
      <alignment horizontal="center" vertical="center"/>
    </xf>
    <xf numFmtId="167" fontId="16" fillId="0" borderId="6" xfId="1" applyFont="1" applyFill="1" applyBorder="1" applyAlignment="1">
      <alignment horizontal="center" vertical="center"/>
    </xf>
    <xf numFmtId="167" fontId="15" fillId="0" borderId="120" xfId="1" applyFont="1" applyFill="1" applyBorder="1" applyAlignment="1">
      <alignment horizontal="center" vertical="center"/>
    </xf>
    <xf numFmtId="167" fontId="15" fillId="0" borderId="6" xfId="9" applyNumberFormat="1" applyFont="1" applyBorder="1" applyAlignment="1">
      <alignment vertical="center"/>
    </xf>
    <xf numFmtId="167" fontId="13" fillId="0" borderId="0" xfId="1" applyFont="1" applyFill="1" applyBorder="1" applyAlignment="1">
      <alignment horizontal="center" vertical="center"/>
    </xf>
    <xf numFmtId="178" fontId="61" fillId="0" borderId="0" xfId="3" applyNumberFormat="1" applyFont="1" applyAlignment="1">
      <alignment horizontal="center" vertical="center"/>
    </xf>
    <xf numFmtId="178" fontId="23" fillId="0" borderId="0" xfId="1" applyNumberFormat="1" applyFont="1" applyFill="1" applyBorder="1" applyAlignment="1">
      <alignment horizontal="center" vertical="center"/>
    </xf>
    <xf numFmtId="178" fontId="15" fillId="0" borderId="0" xfId="1" applyNumberFormat="1" applyFont="1" applyFill="1" applyBorder="1" applyAlignment="1">
      <alignment horizontal="center" vertical="center"/>
    </xf>
    <xf numFmtId="178" fontId="15" fillId="0" borderId="9" xfId="1" applyNumberFormat="1" applyFont="1" applyFill="1" applyBorder="1" applyAlignment="1">
      <alignment horizontal="center" vertical="center"/>
    </xf>
    <xf numFmtId="178" fontId="15" fillId="0" borderId="6" xfId="1" applyNumberFormat="1" applyFont="1" applyFill="1" applyBorder="1" applyAlignment="1">
      <alignment horizontal="center" vertical="center"/>
    </xf>
    <xf numFmtId="178" fontId="15" fillId="5" borderId="6" xfId="1" applyNumberFormat="1" applyFont="1" applyFill="1" applyBorder="1" applyAlignment="1">
      <alignment horizontal="center" vertical="center"/>
    </xf>
    <xf numFmtId="178" fontId="16" fillId="0" borderId="6" xfId="1" applyNumberFormat="1" applyFont="1" applyFill="1" applyBorder="1" applyAlignment="1">
      <alignment horizontal="center" vertical="center"/>
    </xf>
    <xf numFmtId="178" fontId="22" fillId="0" borderId="0" xfId="1" applyNumberFormat="1" applyFont="1" applyFill="1" applyBorder="1" applyAlignment="1">
      <alignment horizontal="center" vertical="center"/>
    </xf>
    <xf numFmtId="167" fontId="16" fillId="0" borderId="5" xfId="2" applyNumberFormat="1" applyFont="1" applyFill="1" applyBorder="1" applyAlignment="1">
      <alignment horizontal="right" vertical="center"/>
    </xf>
    <xf numFmtId="167" fontId="14" fillId="0" borderId="29" xfId="2" applyNumberFormat="1" applyFont="1" applyFill="1" applyBorder="1" applyAlignment="1">
      <alignment horizontal="center" vertical="center"/>
    </xf>
    <xf numFmtId="167" fontId="11" fillId="0" borderId="0" xfId="0" applyNumberFormat="1" applyFont="1"/>
    <xf numFmtId="167" fontId="14" fillId="0" borderId="29" xfId="7" applyNumberFormat="1" applyFont="1" applyFill="1" applyBorder="1" applyAlignment="1">
      <alignment horizontal="center" vertical="center"/>
    </xf>
    <xf numFmtId="167" fontId="14" fillId="0" borderId="29" xfId="0" applyNumberFormat="1" applyFont="1" applyBorder="1" applyAlignment="1">
      <alignment horizontal="center" vertical="center"/>
    </xf>
    <xf numFmtId="167" fontId="15" fillId="0" borderId="7" xfId="0" applyNumberFormat="1" applyFont="1" applyBorder="1" applyAlignment="1">
      <alignment horizontal="right" vertical="center"/>
    </xf>
    <xf numFmtId="167" fontId="14" fillId="0" borderId="5" xfId="8" applyFont="1" applyFill="1" applyBorder="1" applyAlignment="1">
      <alignment horizontal="center" vertical="center"/>
    </xf>
    <xf numFmtId="167" fontId="15" fillId="0" borderId="7" xfId="1" quotePrefix="1" applyFont="1" applyFill="1" applyBorder="1" applyAlignment="1">
      <alignment horizontal="center" vertical="center"/>
    </xf>
    <xf numFmtId="167" fontId="14" fillId="0" borderId="29" xfId="36" applyNumberFormat="1" applyFont="1" applyFill="1" applyBorder="1" applyAlignment="1">
      <alignment horizontal="center" vertical="center"/>
    </xf>
    <xf numFmtId="167" fontId="16" fillId="0" borderId="66" xfId="0" applyNumberFormat="1" applyFont="1" applyBorder="1" applyAlignment="1">
      <alignment horizontal="center" vertical="center"/>
    </xf>
    <xf numFmtId="167" fontId="16" fillId="0" borderId="8" xfId="1" applyFont="1" applyFill="1" applyBorder="1" applyAlignment="1">
      <alignment horizontal="center" vertical="center"/>
    </xf>
    <xf numFmtId="167" fontId="15" fillId="0" borderId="13" xfId="1" applyFont="1" applyFill="1" applyBorder="1" applyAlignment="1">
      <alignment vertical="center"/>
    </xf>
    <xf numFmtId="167" fontId="15" fillId="0" borderId="13" xfId="1" applyFont="1" applyFill="1" applyBorder="1" applyAlignment="1">
      <alignment horizontal="center" vertical="center"/>
    </xf>
    <xf numFmtId="167" fontId="15" fillId="0" borderId="7" xfId="9" applyNumberFormat="1" applyFont="1" applyBorder="1" applyAlignment="1">
      <alignment horizontal="center" vertical="center"/>
    </xf>
    <xf numFmtId="167" fontId="15" fillId="0" borderId="7" xfId="9" applyNumberFormat="1" applyFont="1" applyBorder="1" applyAlignment="1">
      <alignment vertical="center"/>
    </xf>
    <xf numFmtId="167" fontId="15" fillId="0" borderId="7" xfId="9" quotePrefix="1" applyNumberFormat="1" applyFont="1" applyBorder="1" applyAlignment="1">
      <alignment vertical="center"/>
    </xf>
    <xf numFmtId="167" fontId="15" fillId="0" borderId="7" xfId="8" applyFont="1" applyFill="1" applyBorder="1" applyAlignment="1">
      <alignment vertical="center"/>
    </xf>
    <xf numFmtId="167" fontId="15" fillId="0" borderId="8" xfId="9" applyNumberFormat="1" applyFont="1" applyBorder="1" applyAlignment="1">
      <alignment horizontal="center" vertical="center"/>
    </xf>
    <xf numFmtId="167" fontId="16" fillId="0" borderId="7" xfId="9" applyNumberFormat="1" applyFont="1" applyBorder="1" applyAlignment="1">
      <alignment horizontal="center" vertical="center"/>
    </xf>
    <xf numFmtId="167" fontId="16" fillId="0" borderId="7" xfId="8" applyFont="1" applyFill="1" applyBorder="1" applyAlignment="1">
      <alignment vertical="center"/>
    </xf>
    <xf numFmtId="167" fontId="16" fillId="0" borderId="13" xfId="1" applyFont="1" applyFill="1" applyBorder="1" applyAlignment="1">
      <alignment horizontal="right" vertical="center"/>
    </xf>
    <xf numFmtId="167" fontId="15" fillId="0" borderId="12" xfId="1" applyFont="1" applyFill="1" applyBorder="1" applyAlignment="1">
      <alignment horizontal="center" vertical="center"/>
    </xf>
    <xf numFmtId="167" fontId="16" fillId="0" borderId="93" xfId="2" applyNumberFormat="1" applyFont="1" applyFill="1" applyBorder="1" applyAlignment="1">
      <alignment horizontal="right" vertical="center"/>
    </xf>
    <xf numFmtId="167" fontId="14" fillId="0" borderId="32" xfId="0" applyNumberFormat="1" applyFont="1" applyBorder="1" applyAlignment="1">
      <alignment horizontal="center" vertical="center"/>
    </xf>
    <xf numFmtId="167" fontId="29" fillId="0" borderId="0" xfId="0" applyNumberFormat="1" applyFont="1"/>
    <xf numFmtId="167" fontId="21" fillId="0" borderId="0" xfId="2" applyNumberFormat="1" applyFont="1" applyFill="1" applyAlignment="1">
      <alignment horizontal="right" vertical="center"/>
    </xf>
    <xf numFmtId="167" fontId="21" fillId="0" borderId="0" xfId="0" applyNumberFormat="1" applyFont="1" applyAlignment="1">
      <alignment vertical="center"/>
    </xf>
    <xf numFmtId="167" fontId="19" fillId="0" borderId="0" xfId="0" applyNumberFormat="1" applyFont="1"/>
    <xf numFmtId="167" fontId="13" fillId="0" borderId="0" xfId="1" applyFont="1" applyFill="1" applyBorder="1" applyAlignment="1">
      <alignment vertical="center"/>
    </xf>
    <xf numFmtId="167" fontId="14" fillId="0" borderId="0" xfId="2" applyNumberFormat="1" applyFont="1" applyFill="1" applyBorder="1" applyAlignment="1">
      <alignment vertical="center"/>
    </xf>
    <xf numFmtId="167" fontId="14" fillId="0" borderId="0" xfId="0" applyNumberFormat="1" applyFont="1" applyAlignment="1">
      <alignment horizontal="right" vertical="center"/>
    </xf>
    <xf numFmtId="167" fontId="13" fillId="0" borderId="0" xfId="1" applyFont="1" applyFill="1" applyBorder="1" applyAlignment="1">
      <alignment horizontal="right" vertical="center"/>
    </xf>
    <xf numFmtId="167" fontId="11" fillId="0" borderId="0" xfId="1" applyFont="1" applyFill="1" applyBorder="1"/>
    <xf numFmtId="167" fontId="10" fillId="0" borderId="0" xfId="0" applyNumberFormat="1" applyFont="1"/>
    <xf numFmtId="167" fontId="14" fillId="0" borderId="0" xfId="0" applyNumberFormat="1" applyFont="1" applyAlignment="1">
      <alignment vertical="center"/>
    </xf>
    <xf numFmtId="167" fontId="15" fillId="0" borderId="6" xfId="1" applyFont="1" applyFill="1" applyBorder="1" applyAlignment="1">
      <alignment horizontal="left" vertical="center"/>
    </xf>
    <xf numFmtId="167" fontId="13" fillId="0" borderId="6" xfId="1" applyFont="1" applyFill="1" applyBorder="1" applyAlignment="1">
      <alignment horizontal="left" vertical="center"/>
    </xf>
    <xf numFmtId="167" fontId="16" fillId="7" borderId="6" xfId="1" applyFont="1" applyFill="1" applyBorder="1" applyAlignment="1">
      <alignment horizontal="center" vertical="center"/>
    </xf>
    <xf numFmtId="167" fontId="13" fillId="0" borderId="7" xfId="1" applyFont="1" applyFill="1" applyBorder="1" applyAlignment="1">
      <alignment vertical="center"/>
    </xf>
    <xf numFmtId="167" fontId="13" fillId="0" borderId="7" xfId="1" applyFont="1" applyFill="1" applyBorder="1" applyAlignment="1">
      <alignment horizontal="center" vertical="center"/>
    </xf>
    <xf numFmtId="167" fontId="14" fillId="0" borderId="6" xfId="1" applyFont="1" applyFill="1" applyBorder="1" applyAlignment="1">
      <alignment horizontal="left" vertical="center"/>
    </xf>
    <xf numFmtId="167" fontId="16" fillId="7" borderId="7" xfId="1" applyFont="1" applyFill="1" applyBorder="1" applyAlignment="1">
      <alignment horizontal="right" vertical="center"/>
    </xf>
    <xf numFmtId="167" fontId="16" fillId="8" borderId="7" xfId="1" applyFont="1" applyFill="1" applyBorder="1" applyAlignment="1">
      <alignment horizontal="right" vertical="center"/>
    </xf>
    <xf numFmtId="167" fontId="16" fillId="8" borderId="6" xfId="1" applyFont="1" applyFill="1" applyBorder="1" applyAlignment="1">
      <alignment horizontal="center" vertical="center"/>
    </xf>
    <xf numFmtId="167" fontId="16" fillId="9" borderId="7" xfId="1" applyFont="1" applyFill="1" applyBorder="1" applyAlignment="1">
      <alignment horizontal="right" vertical="center"/>
    </xf>
    <xf numFmtId="167" fontId="16" fillId="9" borderId="7" xfId="1" applyFont="1" applyFill="1" applyBorder="1" applyAlignment="1">
      <alignment horizontal="center" vertical="center"/>
    </xf>
    <xf numFmtId="167" fontId="16" fillId="6" borderId="7" xfId="1" applyFont="1" applyFill="1" applyBorder="1" applyAlignment="1">
      <alignment horizontal="right" vertical="center"/>
    </xf>
    <xf numFmtId="167" fontId="16" fillId="7" borderId="7" xfId="1" applyFont="1" applyFill="1" applyBorder="1" applyAlignment="1">
      <alignment horizontal="center" vertical="center"/>
    </xf>
    <xf numFmtId="4" fontId="15" fillId="0" borderId="7" xfId="0" applyNumberFormat="1" applyFont="1" applyBorder="1" applyAlignment="1">
      <alignment horizontal="center" vertical="center"/>
    </xf>
    <xf numFmtId="4" fontId="15" fillId="0" borderId="8" xfId="0" applyNumberFormat="1" applyFont="1" applyBorder="1" applyAlignment="1">
      <alignment horizontal="center" vertical="center"/>
    </xf>
    <xf numFmtId="4" fontId="15" fillId="4" borderId="7" xfId="0" applyNumberFormat="1" applyFont="1" applyFill="1" applyBorder="1" applyAlignment="1">
      <alignment horizontal="center" vertical="center"/>
    </xf>
    <xf numFmtId="2" fontId="16" fillId="4" borderId="7" xfId="0" applyNumberFormat="1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15" fillId="4" borderId="7" xfId="0" applyFont="1" applyFill="1" applyBorder="1"/>
    <xf numFmtId="4" fontId="15" fillId="0" borderId="6" xfId="0" applyNumberFormat="1" applyFont="1" applyBorder="1" applyAlignment="1">
      <alignment horizontal="center" vertical="center"/>
    </xf>
    <xf numFmtId="2" fontId="16" fillId="4" borderId="6" xfId="0" applyNumberFormat="1" applyFont="1" applyFill="1" applyBorder="1" applyAlignment="1">
      <alignment horizontal="center" vertical="center"/>
    </xf>
    <xf numFmtId="4" fontId="16" fillId="0" borderId="6" xfId="0" applyNumberFormat="1" applyFont="1" applyBorder="1" applyAlignment="1">
      <alignment horizontal="center" vertical="center"/>
    </xf>
    <xf numFmtId="167" fontId="15" fillId="0" borderId="132" xfId="1" applyFont="1" applyFill="1" applyBorder="1" applyAlignment="1">
      <alignment vertical="center"/>
    </xf>
    <xf numFmtId="167" fontId="15" fillId="0" borderId="132" xfId="1" applyFont="1" applyFill="1" applyBorder="1" applyAlignment="1">
      <alignment horizontal="center" vertical="center"/>
    </xf>
    <xf numFmtId="167" fontId="16" fillId="4" borderId="7" xfId="1" applyFont="1" applyFill="1" applyBorder="1" applyAlignment="1">
      <alignment horizontal="right" vertical="center"/>
    </xf>
    <xf numFmtId="167" fontId="16" fillId="0" borderId="132" xfId="1" applyFont="1" applyFill="1" applyBorder="1" applyAlignment="1">
      <alignment horizontal="center" vertical="center"/>
    </xf>
    <xf numFmtId="0" fontId="72" fillId="0" borderId="0" xfId="0" applyFont="1"/>
    <xf numFmtId="166" fontId="14" fillId="5" borderId="6" xfId="2" applyFont="1" applyFill="1" applyBorder="1" applyAlignment="1">
      <alignment horizontal="center" vertical="center"/>
    </xf>
    <xf numFmtId="167" fontId="15" fillId="5" borderId="7" xfId="1" applyFont="1" applyFill="1" applyBorder="1" applyAlignment="1">
      <alignment horizontal="right" vertical="center"/>
    </xf>
    <xf numFmtId="167" fontId="15" fillId="5" borderId="8" xfId="1" applyFont="1" applyFill="1" applyBorder="1" applyAlignment="1">
      <alignment horizontal="center" vertical="center"/>
    </xf>
    <xf numFmtId="0" fontId="42" fillId="3" borderId="28" xfId="0" applyFont="1" applyFill="1" applyBorder="1" applyAlignment="1">
      <alignment horizontal="center" vertical="center"/>
    </xf>
    <xf numFmtId="166" fontId="42" fillId="3" borderId="6" xfId="2" applyFont="1" applyFill="1" applyBorder="1" applyAlignment="1">
      <alignment horizontal="left" vertical="center"/>
    </xf>
    <xf numFmtId="166" fontId="42" fillId="3" borderId="7" xfId="2" applyFont="1" applyFill="1" applyBorder="1" applyAlignment="1">
      <alignment vertical="center"/>
    </xf>
    <xf numFmtId="0" fontId="42" fillId="3" borderId="7" xfId="0" applyFont="1" applyFill="1" applyBorder="1" applyAlignment="1">
      <alignment vertical="center"/>
    </xf>
    <xf numFmtId="4" fontId="73" fillId="3" borderId="7" xfId="0" applyNumberFormat="1" applyFont="1" applyFill="1" applyBorder="1" applyAlignment="1">
      <alignment horizontal="right" vertical="center"/>
    </xf>
    <xf numFmtId="178" fontId="73" fillId="3" borderId="6" xfId="1" applyNumberFormat="1" applyFont="1" applyFill="1" applyBorder="1" applyAlignment="1">
      <alignment horizontal="center" vertical="center"/>
    </xf>
    <xf numFmtId="167" fontId="73" fillId="3" borderId="7" xfId="1" applyFont="1" applyFill="1" applyBorder="1" applyAlignment="1">
      <alignment vertical="center"/>
    </xf>
    <xf numFmtId="167" fontId="73" fillId="3" borderId="7" xfId="1" applyFont="1" applyFill="1" applyBorder="1" applyAlignment="1">
      <alignment horizontal="center" vertical="center"/>
    </xf>
    <xf numFmtId="0" fontId="72" fillId="3" borderId="0" xfId="0" applyFont="1" applyFill="1"/>
    <xf numFmtId="170" fontId="71" fillId="3" borderId="5" xfId="2" applyNumberFormat="1" applyFont="1" applyFill="1" applyBorder="1" applyAlignment="1">
      <alignment horizontal="right" vertical="center"/>
    </xf>
    <xf numFmtId="170" fontId="42" fillId="3" borderId="29" xfId="2" applyNumberFormat="1" applyFont="1" applyFill="1" applyBorder="1" applyAlignment="1">
      <alignment horizontal="center" vertical="center"/>
    </xf>
    <xf numFmtId="166" fontId="16" fillId="0" borderId="66" xfId="2" applyFont="1" applyFill="1" applyBorder="1" applyAlignment="1">
      <alignment vertical="center"/>
    </xf>
    <xf numFmtId="0" fontId="13" fillId="0" borderId="108" xfId="0" applyFont="1" applyBorder="1" applyAlignment="1">
      <alignment vertical="center"/>
    </xf>
    <xf numFmtId="0" fontId="13" fillId="0" borderId="109" xfId="0" applyFont="1" applyBorder="1" applyAlignment="1">
      <alignment horizontal="justify" vertical="center" wrapText="1"/>
    </xf>
    <xf numFmtId="0" fontId="13" fillId="0" borderId="110" xfId="0" applyFont="1" applyBorder="1" applyAlignment="1">
      <alignment horizontal="center" vertical="center" wrapText="1"/>
    </xf>
    <xf numFmtId="171" fontId="13" fillId="0" borderId="110" xfId="0" applyNumberFormat="1" applyFont="1" applyBorder="1" applyAlignment="1">
      <alignment horizontal="center" vertical="center" wrapText="1"/>
    </xf>
    <xf numFmtId="0" fontId="14" fillId="0" borderId="110" xfId="0" applyFont="1" applyBorder="1" applyAlignment="1">
      <alignment horizontal="center" vertical="center" wrapText="1"/>
    </xf>
    <xf numFmtId="169" fontId="13" fillId="0" borderId="110" xfId="0" applyNumberFormat="1" applyFont="1" applyBorder="1" applyAlignment="1">
      <alignment horizontal="center" vertical="center" wrapText="1"/>
    </xf>
    <xf numFmtId="169" fontId="13" fillId="0" borderId="110" xfId="0" applyNumberFormat="1" applyFont="1" applyBorder="1" applyAlignment="1">
      <alignment horizontal="justify" vertical="center" wrapText="1"/>
    </xf>
    <xf numFmtId="0" fontId="60" fillId="0" borderId="0" xfId="0" applyFont="1" applyAlignment="1">
      <alignment horizontal="left" vertical="center"/>
    </xf>
    <xf numFmtId="0" fontId="13" fillId="0" borderId="0" xfId="0" applyFont="1"/>
    <xf numFmtId="0" fontId="13" fillId="0" borderId="107" xfId="0" applyFont="1" applyBorder="1" applyAlignment="1">
      <alignment horizontal="left" vertical="center"/>
    </xf>
    <xf numFmtId="0" fontId="13" fillId="0" borderId="107" xfId="0" applyFont="1" applyBorder="1" applyAlignment="1">
      <alignment horizontal="center" vertical="center"/>
    </xf>
    <xf numFmtId="0" fontId="13" fillId="0" borderId="110" xfId="0" applyFont="1" applyBorder="1" applyAlignment="1">
      <alignment horizontal="left" vertical="center" wrapText="1"/>
    </xf>
    <xf numFmtId="0" fontId="13" fillId="0" borderId="110" xfId="0" applyFont="1" applyBorder="1" applyAlignment="1">
      <alignment horizontal="justify" vertical="center" wrapText="1"/>
    </xf>
    <xf numFmtId="175" fontId="13" fillId="0" borderId="110" xfId="0" applyNumberFormat="1" applyFont="1" applyBorder="1" applyAlignment="1">
      <alignment horizontal="justify" vertical="center" wrapText="1"/>
    </xf>
    <xf numFmtId="175" fontId="13" fillId="0" borderId="110" xfId="0" applyNumberFormat="1" applyFont="1" applyBorder="1" applyAlignment="1">
      <alignment horizontal="center" vertical="center" wrapText="1"/>
    </xf>
    <xf numFmtId="175" fontId="13" fillId="0" borderId="110" xfId="0" applyNumberFormat="1" applyFont="1" applyBorder="1" applyAlignment="1">
      <alignment horizontal="right" vertical="center" wrapText="1"/>
    </xf>
    <xf numFmtId="0" fontId="13" fillId="0" borderId="108" xfId="0" applyFont="1" applyBorder="1" applyAlignment="1">
      <alignment horizontal="justify" vertical="center"/>
    </xf>
    <xf numFmtId="0" fontId="54" fillId="0" borderId="110" xfId="0" applyFont="1" applyBorder="1" applyAlignment="1">
      <alignment horizontal="justify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justify" vertical="center" wrapText="1"/>
    </xf>
    <xf numFmtId="175" fontId="13" fillId="0" borderId="0" xfId="0" applyNumberFormat="1" applyFont="1" applyAlignment="1">
      <alignment horizontal="justify" vertical="center" wrapText="1"/>
    </xf>
    <xf numFmtId="175" fontId="13" fillId="0" borderId="0" xfId="0" applyNumberFormat="1" applyFont="1" applyAlignment="1">
      <alignment horizontal="right" vertical="center" wrapText="1"/>
    </xf>
    <xf numFmtId="0" fontId="14" fillId="0" borderId="110" xfId="0" applyFont="1" applyBorder="1" applyAlignment="1">
      <alignment horizontal="left" vertical="center" wrapText="1"/>
    </xf>
    <xf numFmtId="0" fontId="14" fillId="0" borderId="108" xfId="0" applyFont="1" applyBorder="1" applyAlignment="1">
      <alignment horizontal="justify" vertical="center"/>
    </xf>
    <xf numFmtId="0" fontId="14" fillId="0" borderId="109" xfId="0" applyFont="1" applyBorder="1" applyAlignment="1">
      <alignment horizontal="justify" vertical="center" wrapText="1"/>
    </xf>
    <xf numFmtId="175" fontId="13" fillId="0" borderId="18" xfId="0" applyNumberFormat="1" applyFont="1" applyBorder="1" applyAlignment="1">
      <alignment horizontal="justify" vertical="center" wrapText="1"/>
    </xf>
    <xf numFmtId="175" fontId="13" fillId="0" borderId="111" xfId="0" applyNumberFormat="1" applyFont="1" applyBorder="1" applyAlignment="1">
      <alignment horizontal="justify" vertical="center" wrapText="1"/>
    </xf>
    <xf numFmtId="0" fontId="54" fillId="0" borderId="0" xfId="0" applyFont="1" applyAlignment="1">
      <alignment horizontal="justify" vertical="center" wrapText="1"/>
    </xf>
    <xf numFmtId="178" fontId="15" fillId="0" borderId="120" xfId="1" applyNumberFormat="1" applyFont="1" applyFill="1" applyBorder="1" applyAlignment="1">
      <alignment horizontal="center" vertical="center"/>
    </xf>
    <xf numFmtId="0" fontId="14" fillId="0" borderId="121" xfId="0" applyFont="1" applyBorder="1" applyAlignment="1">
      <alignment horizontal="center" vertical="center"/>
    </xf>
    <xf numFmtId="166" fontId="14" fillId="0" borderId="132" xfId="2" applyFont="1" applyFill="1" applyBorder="1" applyAlignment="1">
      <alignment vertical="center"/>
    </xf>
    <xf numFmtId="166" fontId="14" fillId="0" borderId="132" xfId="0" applyNumberFormat="1" applyFont="1" applyBorder="1" applyAlignment="1">
      <alignment vertical="center"/>
    </xf>
    <xf numFmtId="0" fontId="14" fillId="0" borderId="132" xfId="0" applyFont="1" applyBorder="1" applyAlignment="1">
      <alignment vertical="center"/>
    </xf>
    <xf numFmtId="4" fontId="15" fillId="0" borderId="132" xfId="0" applyNumberFormat="1" applyFont="1" applyBorder="1" applyAlignment="1">
      <alignment horizontal="right" vertical="center"/>
    </xf>
    <xf numFmtId="167" fontId="16" fillId="0" borderId="132" xfId="1" applyFont="1" applyFill="1" applyBorder="1" applyAlignment="1">
      <alignment vertical="center"/>
    </xf>
    <xf numFmtId="167" fontId="16" fillId="0" borderId="132" xfId="1" applyFont="1" applyFill="1" applyBorder="1" applyAlignment="1">
      <alignment horizontal="right" vertical="center"/>
    </xf>
    <xf numFmtId="0" fontId="11" fillId="0" borderId="0" xfId="52" applyFont="1" applyAlignment="1">
      <alignment horizontal="left" vertical="center"/>
    </xf>
    <xf numFmtId="0" fontId="8" fillId="0" borderId="0" xfId="52" applyFont="1" applyAlignment="1">
      <alignment horizontal="center" vertical="center"/>
    </xf>
    <xf numFmtId="0" fontId="14" fillId="0" borderId="0" xfId="52" applyFont="1"/>
    <xf numFmtId="0" fontId="11" fillId="0" borderId="0" xfId="52" applyFont="1"/>
    <xf numFmtId="4" fontId="15" fillId="0" borderId="0" xfId="52" applyNumberFormat="1" applyFont="1" applyAlignment="1">
      <alignment horizontal="right" vertical="center"/>
    </xf>
    <xf numFmtId="4" fontId="14" fillId="0" borderId="0" xfId="52" applyNumberFormat="1" applyFont="1" applyAlignment="1">
      <alignment vertical="center"/>
    </xf>
    <xf numFmtId="0" fontId="14" fillId="0" borderId="24" xfId="52" applyFont="1" applyBorder="1" applyAlignment="1">
      <alignment horizontal="center" vertical="center" wrapText="1"/>
    </xf>
    <xf numFmtId="4" fontId="14" fillId="0" borderId="27" xfId="52" applyNumberFormat="1" applyFont="1" applyBorder="1" applyAlignment="1">
      <alignment horizontal="center" vertical="center" wrapText="1"/>
    </xf>
    <xf numFmtId="0" fontId="25" fillId="0" borderId="0" xfId="52" applyFont="1" applyAlignment="1">
      <alignment horizontal="center" vertical="center" wrapText="1"/>
    </xf>
    <xf numFmtId="0" fontId="15" fillId="0" borderId="52" xfId="52" quotePrefix="1" applyFont="1" applyBorder="1" applyAlignment="1">
      <alignment horizontal="center" vertical="center"/>
    </xf>
    <xf numFmtId="4" fontId="15" fillId="0" borderId="53" xfId="52" quotePrefix="1" applyNumberFormat="1" applyFont="1" applyBorder="1" applyAlignment="1">
      <alignment horizontal="center" vertical="center"/>
    </xf>
    <xf numFmtId="0" fontId="13" fillId="0" borderId="30" xfId="52" applyFont="1" applyBorder="1" applyAlignment="1">
      <alignment vertical="center"/>
    </xf>
    <xf numFmtId="0" fontId="14" fillId="0" borderId="10" xfId="52" applyFont="1" applyBorder="1" applyAlignment="1">
      <alignment vertical="center"/>
    </xf>
    <xf numFmtId="0" fontId="13" fillId="0" borderId="10" xfId="52" applyFont="1" applyBorder="1" applyAlignment="1">
      <alignment vertical="center"/>
    </xf>
    <xf numFmtId="4" fontId="15" fillId="0" borderId="10" xfId="52" applyNumberFormat="1" applyFont="1" applyBorder="1" applyAlignment="1">
      <alignment horizontal="right" vertical="center"/>
    </xf>
    <xf numFmtId="4" fontId="14" fillId="0" borderId="31" xfId="52" applyNumberFormat="1" applyFont="1" applyBorder="1" applyAlignment="1">
      <alignment horizontal="center" vertical="center"/>
    </xf>
    <xf numFmtId="0" fontId="13" fillId="0" borderId="60" xfId="52" applyFont="1" applyBorder="1" applyAlignment="1">
      <alignment vertical="center"/>
    </xf>
    <xf numFmtId="0" fontId="14" fillId="0" borderId="66" xfId="52" applyFont="1" applyBorder="1" applyAlignment="1">
      <alignment vertical="center"/>
    </xf>
    <xf numFmtId="0" fontId="13" fillId="0" borderId="66" xfId="52" applyFont="1" applyBorder="1" applyAlignment="1">
      <alignment vertical="center"/>
    </xf>
    <xf numFmtId="4" fontId="15" fillId="0" borderId="66" xfId="52" applyNumberFormat="1" applyFont="1" applyBorder="1" applyAlignment="1">
      <alignment horizontal="right" vertical="center"/>
    </xf>
    <xf numFmtId="4" fontId="14" fillId="0" borderId="59" xfId="52" applyNumberFormat="1" applyFont="1" applyBorder="1" applyAlignment="1">
      <alignment horizontal="center" vertical="center"/>
    </xf>
    <xf numFmtId="0" fontId="42" fillId="3" borderId="28" xfId="52" applyFont="1" applyFill="1" applyBorder="1" applyAlignment="1">
      <alignment horizontal="center" vertical="center"/>
    </xf>
    <xf numFmtId="0" fontId="42" fillId="3" borderId="7" xfId="52" applyFont="1" applyFill="1" applyBorder="1" applyAlignment="1">
      <alignment vertical="center"/>
    </xf>
    <xf numFmtId="4" fontId="73" fillId="3" borderId="7" xfId="52" applyNumberFormat="1" applyFont="1" applyFill="1" applyBorder="1" applyAlignment="1">
      <alignment horizontal="right" vertical="center"/>
    </xf>
    <xf numFmtId="0" fontId="72" fillId="3" borderId="0" xfId="52" applyFont="1" applyFill="1"/>
    <xf numFmtId="0" fontId="72" fillId="0" borderId="0" xfId="52" applyFont="1"/>
    <xf numFmtId="0" fontId="14" fillId="0" borderId="28" xfId="52" applyFont="1" applyBorder="1" applyAlignment="1">
      <alignment horizontal="center" vertical="center"/>
    </xf>
    <xf numFmtId="0" fontId="14" fillId="0" borderId="7" xfId="52" applyFont="1" applyBorder="1" applyAlignment="1">
      <alignment vertical="center"/>
    </xf>
    <xf numFmtId="0" fontId="13" fillId="0" borderId="7" xfId="52" applyFont="1" applyBorder="1" applyAlignment="1">
      <alignment vertical="center"/>
    </xf>
    <xf numFmtId="4" fontId="15" fillId="0" borderId="7" xfId="52" applyNumberFormat="1" applyFont="1" applyBorder="1" applyAlignment="1">
      <alignment horizontal="right" vertical="center"/>
    </xf>
    <xf numFmtId="4" fontId="14" fillId="0" borderId="29" xfId="52" applyNumberFormat="1" applyFont="1" applyBorder="1" applyAlignment="1">
      <alignment horizontal="center" vertical="center"/>
    </xf>
    <xf numFmtId="0" fontId="13" fillId="0" borderId="28" xfId="52" applyFont="1" applyBorder="1" applyAlignment="1">
      <alignment horizontal="right" vertical="center"/>
    </xf>
    <xf numFmtId="4" fontId="16" fillId="0" borderId="7" xfId="52" applyNumberFormat="1" applyFont="1" applyBorder="1" applyAlignment="1">
      <alignment horizontal="right" vertical="center"/>
    </xf>
    <xf numFmtId="0" fontId="14" fillId="5" borderId="28" xfId="52" applyFont="1" applyFill="1" applyBorder="1" applyAlignment="1">
      <alignment horizontal="center" vertical="center"/>
    </xf>
    <xf numFmtId="0" fontId="14" fillId="5" borderId="7" xfId="52" applyFont="1" applyFill="1" applyBorder="1" applyAlignment="1">
      <alignment vertical="center"/>
    </xf>
    <xf numFmtId="4" fontId="15" fillId="5" borderId="7" xfId="52" applyNumberFormat="1" applyFont="1" applyFill="1" applyBorder="1" applyAlignment="1">
      <alignment horizontal="right" vertical="center"/>
    </xf>
    <xf numFmtId="167" fontId="11" fillId="0" borderId="0" xfId="52" applyNumberFormat="1" applyFont="1"/>
    <xf numFmtId="167" fontId="16" fillId="0" borderId="7" xfId="52" applyNumberFormat="1" applyFont="1" applyBorder="1" applyAlignment="1">
      <alignment horizontal="right" vertical="center"/>
    </xf>
    <xf numFmtId="167" fontId="15" fillId="0" borderId="8" xfId="52" applyNumberFormat="1" applyFont="1" applyBorder="1" applyAlignment="1">
      <alignment horizontal="right" vertical="center"/>
    </xf>
    <xf numFmtId="166" fontId="14" fillId="0" borderId="7" xfId="52" applyNumberFormat="1" applyFont="1" applyBorder="1" applyAlignment="1">
      <alignment vertical="center"/>
    </xf>
    <xf numFmtId="167" fontId="14" fillId="0" borderId="29" xfId="52" applyNumberFormat="1" applyFont="1" applyBorder="1" applyAlignment="1">
      <alignment horizontal="center" vertical="center"/>
    </xf>
    <xf numFmtId="0" fontId="20" fillId="0" borderId="0" xfId="52" applyFont="1" applyAlignment="1">
      <alignment vertical="center"/>
    </xf>
    <xf numFmtId="0" fontId="21" fillId="0" borderId="0" xfId="52" applyFont="1" applyAlignment="1">
      <alignment vertical="center"/>
    </xf>
    <xf numFmtId="0" fontId="20" fillId="0" borderId="0" xfId="52" applyFont="1" applyAlignment="1">
      <alignment horizontal="center" vertical="center"/>
    </xf>
    <xf numFmtId="4" fontId="22" fillId="0" borderId="0" xfId="52" applyNumberFormat="1" applyFont="1" applyAlignment="1">
      <alignment horizontal="right" vertical="center"/>
    </xf>
    <xf numFmtId="167" fontId="21" fillId="0" borderId="0" xfId="52" applyNumberFormat="1" applyFont="1" applyAlignment="1">
      <alignment vertical="center"/>
    </xf>
    <xf numFmtId="167" fontId="19" fillId="0" borderId="0" xfId="52" applyNumberFormat="1" applyFont="1"/>
    <xf numFmtId="0" fontId="19" fillId="0" borderId="0" xfId="52" applyFont="1"/>
    <xf numFmtId="0" fontId="15" fillId="0" borderId="0" xfId="52" applyFont="1" applyAlignment="1">
      <alignment vertical="center"/>
    </xf>
    <xf numFmtId="167" fontId="14" fillId="0" borderId="0" xfId="52" applyNumberFormat="1" applyFont="1" applyAlignment="1">
      <alignment horizontal="right" vertical="center"/>
    </xf>
    <xf numFmtId="4" fontId="13" fillId="0" borderId="0" xfId="52" applyNumberFormat="1" applyFont="1" applyAlignment="1">
      <alignment horizontal="center" vertical="center"/>
    </xf>
    <xf numFmtId="167" fontId="10" fillId="0" borderId="0" xfId="52" applyNumberFormat="1" applyFont="1"/>
    <xf numFmtId="0" fontId="17" fillId="0" borderId="0" xfId="52" applyFont="1" applyAlignment="1">
      <alignment vertical="center"/>
    </xf>
    <xf numFmtId="0" fontId="17" fillId="0" borderId="0" xfId="52" applyFont="1" applyAlignment="1">
      <alignment horizontal="center" vertical="center"/>
    </xf>
    <xf numFmtId="4" fontId="21" fillId="0" borderId="0" xfId="52" applyNumberFormat="1" applyFont="1" applyAlignment="1">
      <alignment vertical="center"/>
    </xf>
    <xf numFmtId="0" fontId="76" fillId="0" borderId="0" xfId="52" applyFont="1" applyAlignment="1">
      <alignment horizontal="left" vertical="center"/>
    </xf>
    <xf numFmtId="166" fontId="14" fillId="0" borderId="0" xfId="7" applyFont="1" applyFill="1" applyAlignment="1">
      <alignment horizontal="left" vertical="center"/>
    </xf>
    <xf numFmtId="166" fontId="13" fillId="0" borderId="0" xfId="7" applyFont="1" applyFill="1" applyBorder="1" applyAlignment="1">
      <alignment horizontal="right" vertical="center"/>
    </xf>
    <xf numFmtId="170" fontId="13" fillId="0" borderId="0" xfId="7" applyNumberFormat="1" applyFont="1" applyFill="1" applyAlignment="1">
      <alignment vertical="center"/>
    </xf>
    <xf numFmtId="4" fontId="14" fillId="0" borderId="26" xfId="52" applyNumberFormat="1" applyFont="1" applyBorder="1" applyAlignment="1">
      <alignment horizontal="center" vertical="center" wrapText="1"/>
    </xf>
    <xf numFmtId="170" fontId="14" fillId="0" borderId="26" xfId="7" applyNumberFormat="1" applyFont="1" applyFill="1" applyBorder="1" applyAlignment="1">
      <alignment horizontal="center" vertical="center" wrapText="1"/>
    </xf>
    <xf numFmtId="4" fontId="14" fillId="0" borderId="25" xfId="52" applyNumberFormat="1" applyFont="1" applyBorder="1" applyAlignment="1">
      <alignment horizontal="center" vertical="center" wrapText="1"/>
    </xf>
    <xf numFmtId="166" fontId="14" fillId="0" borderId="0" xfId="7" applyFont="1" applyFill="1" applyBorder="1" applyAlignment="1">
      <alignment horizontal="center" vertical="center" wrapText="1"/>
    </xf>
    <xf numFmtId="0" fontId="13" fillId="0" borderId="52" xfId="52" quotePrefix="1" applyFont="1" applyBorder="1" applyAlignment="1">
      <alignment horizontal="center" vertical="center"/>
    </xf>
    <xf numFmtId="4" fontId="13" fillId="0" borderId="58" xfId="52" quotePrefix="1" applyNumberFormat="1" applyFont="1" applyBorder="1" applyAlignment="1">
      <alignment horizontal="center" vertical="center"/>
    </xf>
    <xf numFmtId="170" fontId="13" fillId="0" borderId="58" xfId="7" quotePrefix="1" applyNumberFormat="1" applyFont="1" applyFill="1" applyBorder="1" applyAlignment="1">
      <alignment horizontal="center" vertical="center"/>
    </xf>
    <xf numFmtId="4" fontId="13" fillId="0" borderId="23" xfId="52" quotePrefix="1" applyNumberFormat="1" applyFont="1" applyBorder="1" applyAlignment="1">
      <alignment horizontal="center" vertical="center"/>
    </xf>
    <xf numFmtId="4" fontId="13" fillId="0" borderId="53" xfId="52" quotePrefix="1" applyNumberFormat="1" applyFont="1" applyBorder="1" applyAlignment="1">
      <alignment horizontal="center" vertical="center"/>
    </xf>
    <xf numFmtId="166" fontId="13" fillId="0" borderId="0" xfId="7" quotePrefix="1" applyFont="1" applyFill="1" applyBorder="1" applyAlignment="1">
      <alignment horizontal="left" vertical="center"/>
    </xf>
    <xf numFmtId="166" fontId="13" fillId="0" borderId="9" xfId="7" applyFont="1" applyFill="1" applyBorder="1" applyAlignment="1">
      <alignment horizontal="right" vertical="center"/>
    </xf>
    <xf numFmtId="4" fontId="13" fillId="0" borderId="67" xfId="52" applyNumberFormat="1" applyFont="1" applyBorder="1" applyAlignment="1">
      <alignment horizontal="right" vertical="center"/>
    </xf>
    <xf numFmtId="4" fontId="13" fillId="0" borderId="11" xfId="52" applyNumberFormat="1" applyFont="1" applyBorder="1" applyAlignment="1">
      <alignment horizontal="center" vertical="center"/>
    </xf>
    <xf numFmtId="170" fontId="13" fillId="0" borderId="11" xfId="7" applyNumberFormat="1" applyFont="1" applyFill="1" applyBorder="1" applyAlignment="1">
      <alignment horizontal="right" vertical="center"/>
    </xf>
    <xf numFmtId="4" fontId="13" fillId="0" borderId="11" xfId="52" applyNumberFormat="1" applyFont="1" applyBorder="1" applyAlignment="1">
      <alignment horizontal="right" vertical="center"/>
    </xf>
    <xf numFmtId="4" fontId="13" fillId="0" borderId="31" xfId="52" applyNumberFormat="1" applyFont="1" applyBorder="1" applyAlignment="1">
      <alignment horizontal="right" vertical="center"/>
    </xf>
    <xf numFmtId="166" fontId="14" fillId="0" borderId="0" xfId="7" applyFont="1" applyFill="1" applyBorder="1" applyAlignment="1">
      <alignment horizontal="left" vertical="center"/>
    </xf>
    <xf numFmtId="0" fontId="77" fillId="0" borderId="28" xfId="45" applyFont="1" applyBorder="1" applyAlignment="1">
      <alignment horizontal="center" vertical="center"/>
    </xf>
    <xf numFmtId="166" fontId="77" fillId="0" borderId="6" xfId="165" applyFont="1" applyFill="1" applyBorder="1" applyAlignment="1">
      <alignment vertical="center"/>
    </xf>
    <xf numFmtId="0" fontId="77" fillId="0" borderId="7" xfId="45" applyFont="1" applyBorder="1" applyAlignment="1">
      <alignment vertical="center"/>
    </xf>
    <xf numFmtId="4" fontId="13" fillId="0" borderId="7" xfId="52" applyNumberFormat="1" applyFont="1" applyBorder="1" applyAlignment="1">
      <alignment horizontal="right" vertical="center"/>
    </xf>
    <xf numFmtId="167" fontId="13" fillId="0" borderId="5" xfId="8" applyFont="1" applyFill="1" applyBorder="1" applyAlignment="1">
      <alignment horizontal="center" vertical="center"/>
    </xf>
    <xf numFmtId="170" fontId="13" fillId="0" borderId="5" xfId="7" applyNumberFormat="1" applyFont="1" applyFill="1" applyBorder="1" applyAlignment="1">
      <alignment horizontal="center" vertical="center"/>
    </xf>
    <xf numFmtId="169" fontId="13" fillId="0" borderId="29" xfId="52" applyNumberFormat="1" applyFont="1" applyBorder="1" applyAlignment="1">
      <alignment horizontal="right" vertical="center"/>
    </xf>
    <xf numFmtId="0" fontId="78" fillId="0" borderId="28" xfId="45" applyFont="1" applyBorder="1" applyAlignment="1">
      <alignment horizontal="right" vertical="center"/>
    </xf>
    <xf numFmtId="166" fontId="78" fillId="0" borderId="6" xfId="165" applyFont="1" applyFill="1" applyBorder="1" applyAlignment="1">
      <alignment vertical="center"/>
    </xf>
    <xf numFmtId="0" fontId="78" fillId="0" borderId="7" xfId="45" applyFont="1" applyBorder="1" applyAlignment="1">
      <alignment vertical="center"/>
    </xf>
    <xf numFmtId="0" fontId="13" fillId="0" borderId="133" xfId="52" applyFont="1" applyBorder="1" applyAlignment="1">
      <alignment vertical="center"/>
    </xf>
    <xf numFmtId="4" fontId="13" fillId="0" borderId="133" xfId="52" applyNumberFormat="1" applyFont="1" applyBorder="1" applyAlignment="1">
      <alignment horizontal="right" vertical="center"/>
    </xf>
    <xf numFmtId="169" fontId="13" fillId="0" borderId="134" xfId="52" applyNumberFormat="1" applyFont="1" applyBorder="1" applyAlignment="1">
      <alignment horizontal="right" vertical="center"/>
    </xf>
    <xf numFmtId="169" fontId="13" fillId="0" borderId="135" xfId="52" applyNumberFormat="1" applyFont="1" applyBorder="1" applyAlignment="1">
      <alignment horizontal="right" vertical="center"/>
    </xf>
    <xf numFmtId="4" fontId="79" fillId="0" borderId="49" xfId="45" applyNumberFormat="1" applyFont="1" applyBorder="1" applyAlignment="1">
      <alignment horizontal="centerContinuous" vertical="center"/>
    </xf>
    <xf numFmtId="4" fontId="79" fillId="0" borderId="18" xfId="45" applyNumberFormat="1" applyFont="1" applyBorder="1" applyAlignment="1">
      <alignment horizontal="centerContinuous" vertical="center"/>
    </xf>
    <xf numFmtId="4" fontId="16" fillId="0" borderId="18" xfId="52" applyNumberFormat="1" applyFont="1" applyBorder="1" applyAlignment="1">
      <alignment horizontal="center" vertical="center"/>
    </xf>
    <xf numFmtId="167" fontId="16" fillId="0" borderId="18" xfId="8" applyFont="1" applyFill="1" applyBorder="1" applyAlignment="1">
      <alignment horizontal="centerContinuous" vertical="center"/>
    </xf>
    <xf numFmtId="170" fontId="16" fillId="0" borderId="18" xfId="52" applyNumberFormat="1" applyFont="1" applyBorder="1" applyAlignment="1">
      <alignment horizontal="centerContinuous" vertical="center"/>
    </xf>
    <xf numFmtId="4" fontId="16" fillId="0" borderId="18" xfId="52" applyNumberFormat="1" applyFont="1" applyBorder="1" applyAlignment="1">
      <alignment horizontal="centerContinuous" vertical="center"/>
    </xf>
    <xf numFmtId="169" fontId="14" fillId="0" borderId="54" xfId="52" applyNumberFormat="1" applyFont="1" applyBorder="1" applyAlignment="1">
      <alignment horizontal="right" vertical="center"/>
    </xf>
    <xf numFmtId="4" fontId="13" fillId="0" borderId="8" xfId="52" applyNumberFormat="1" applyFont="1" applyBorder="1" applyAlignment="1">
      <alignment horizontal="right" vertical="center"/>
    </xf>
    <xf numFmtId="170" fontId="13" fillId="0" borderId="6" xfId="7" applyNumberFormat="1" applyFont="1" applyFill="1" applyBorder="1" applyAlignment="1">
      <alignment horizontal="right" vertical="center"/>
    </xf>
    <xf numFmtId="4" fontId="13" fillId="0" borderId="5" xfId="52" applyNumberFormat="1" applyFont="1" applyBorder="1" applyAlignment="1">
      <alignment horizontal="right" vertical="center"/>
    </xf>
    <xf numFmtId="4" fontId="13" fillId="0" borderId="29" xfId="52" applyNumberFormat="1" applyFont="1" applyBorder="1" applyAlignment="1">
      <alignment horizontal="right" vertical="center"/>
    </xf>
    <xf numFmtId="0" fontId="78" fillId="0" borderId="7" xfId="45" applyFont="1" applyBorder="1" applyAlignment="1">
      <alignment horizontal="left" vertical="center"/>
    </xf>
    <xf numFmtId="167" fontId="13" fillId="0" borderId="0" xfId="52" applyNumberFormat="1" applyFont="1"/>
    <xf numFmtId="4" fontId="16" fillId="0" borderId="49" xfId="52" applyNumberFormat="1" applyFont="1" applyBorder="1" applyAlignment="1">
      <alignment horizontal="centerContinuous" vertical="center"/>
    </xf>
    <xf numFmtId="4" fontId="16" fillId="0" borderId="18" xfId="52" applyNumberFormat="1" applyFont="1" applyBorder="1" applyAlignment="1">
      <alignment horizontal="right" vertical="center"/>
    </xf>
    <xf numFmtId="170" fontId="14" fillId="0" borderId="0" xfId="7" applyNumberFormat="1" applyFont="1" applyFill="1" applyBorder="1" applyAlignment="1">
      <alignment horizontal="left" vertical="center"/>
    </xf>
    <xf numFmtId="0" fontId="13" fillId="0" borderId="0" xfId="52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vertical="center" wrapText="1"/>
    </xf>
    <xf numFmtId="167" fontId="14" fillId="0" borderId="0" xfId="8" applyFont="1" applyFill="1" applyAlignment="1">
      <alignment horizontal="center" vertical="center"/>
    </xf>
    <xf numFmtId="0" fontId="31" fillId="0" borderId="0" xfId="46" applyFont="1" applyAlignment="1">
      <alignment horizontal="center" vertical="center"/>
    </xf>
    <xf numFmtId="0" fontId="60" fillId="0" borderId="110" xfId="0" applyFont="1" applyBorder="1" applyAlignment="1">
      <alignment horizontal="center" vertical="center" wrapText="1"/>
    </xf>
    <xf numFmtId="0" fontId="55" fillId="0" borderId="110" xfId="0" applyFont="1" applyBorder="1" applyAlignment="1">
      <alignment horizontal="justify" vertical="center" wrapText="1"/>
    </xf>
    <xf numFmtId="0" fontId="55" fillId="0" borderId="110" xfId="0" applyFont="1" applyBorder="1" applyAlignment="1">
      <alignment horizontal="center" vertical="center" wrapText="1"/>
    </xf>
    <xf numFmtId="171" fontId="55" fillId="0" borderId="110" xfId="0" applyNumberFormat="1" applyFont="1" applyBorder="1" applyAlignment="1">
      <alignment horizontal="center" vertical="center" wrapText="1"/>
    </xf>
    <xf numFmtId="175" fontId="55" fillId="0" borderId="110" xfId="0" applyNumberFormat="1" applyFont="1" applyBorder="1" applyAlignment="1">
      <alignment horizontal="justify" vertical="center" wrapText="1"/>
    </xf>
    <xf numFmtId="0" fontId="55" fillId="0" borderId="110" xfId="0" applyFont="1" applyBorder="1" applyAlignment="1">
      <alignment horizontal="left" vertical="center" wrapText="1"/>
    </xf>
    <xf numFmtId="0" fontId="55" fillId="0" borderId="108" xfId="0" applyFont="1" applyBorder="1" applyAlignment="1">
      <alignment horizontal="justify" vertical="center"/>
    </xf>
    <xf numFmtId="0" fontId="55" fillId="0" borderId="109" xfId="0" applyFont="1" applyBorder="1" applyAlignment="1">
      <alignment horizontal="justify" vertical="center" wrapText="1"/>
    </xf>
    <xf numFmtId="0" fontId="60" fillId="0" borderId="110" xfId="0" applyFont="1" applyBorder="1" applyAlignment="1">
      <alignment horizontal="left" vertical="center" wrapText="1"/>
    </xf>
    <xf numFmtId="0" fontId="60" fillId="0" borderId="108" xfId="0" applyFont="1" applyBorder="1" applyAlignment="1">
      <alignment horizontal="justify" vertical="center"/>
    </xf>
    <xf numFmtId="0" fontId="60" fillId="0" borderId="109" xfId="0" applyFont="1" applyBorder="1" applyAlignment="1">
      <alignment horizontal="justify" vertical="center" wrapText="1"/>
    </xf>
    <xf numFmtId="9" fontId="13" fillId="0" borderId="110" xfId="163" applyFont="1" applyFill="1" applyBorder="1" applyAlignment="1">
      <alignment horizontal="center" vertical="center" wrapText="1"/>
    </xf>
    <xf numFmtId="0" fontId="13" fillId="0" borderId="137" xfId="0" applyFont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 wrapText="1"/>
    </xf>
    <xf numFmtId="0" fontId="14" fillId="0" borderId="136" xfId="0" applyFont="1" applyBorder="1" applyAlignment="1">
      <alignment horizontal="center" vertical="center" wrapText="1"/>
    </xf>
    <xf numFmtId="171" fontId="13" fillId="0" borderId="136" xfId="0" applyNumberFormat="1" applyFont="1" applyBorder="1" applyAlignment="1">
      <alignment horizontal="center" vertical="center" wrapText="1"/>
    </xf>
    <xf numFmtId="175" fontId="13" fillId="0" borderId="136" xfId="0" applyNumberFormat="1" applyFont="1" applyBorder="1" applyAlignment="1">
      <alignment horizontal="center" vertical="center" wrapText="1"/>
    </xf>
    <xf numFmtId="0" fontId="13" fillId="0" borderId="138" xfId="0" applyFont="1" applyBorder="1" applyAlignment="1">
      <alignment vertical="center"/>
    </xf>
    <xf numFmtId="0" fontId="13" fillId="0" borderId="136" xfId="0" applyFont="1" applyBorder="1" applyAlignment="1">
      <alignment horizontal="justify" vertical="center" wrapText="1"/>
    </xf>
    <xf numFmtId="0" fontId="54" fillId="0" borderId="136" xfId="0" applyFont="1" applyBorder="1" applyAlignment="1">
      <alignment horizontal="justify" vertical="center" wrapText="1"/>
    </xf>
    <xf numFmtId="9" fontId="13" fillId="0" borderId="136" xfId="163" applyFont="1" applyFill="1" applyBorder="1" applyAlignment="1">
      <alignment horizontal="center" vertical="center" wrapText="1"/>
    </xf>
    <xf numFmtId="175" fontId="13" fillId="0" borderId="136" xfId="0" applyNumberFormat="1" applyFont="1" applyBorder="1" applyAlignment="1">
      <alignment horizontal="justify" vertical="center" wrapText="1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justify" vertical="center" wrapText="1"/>
    </xf>
    <xf numFmtId="175" fontId="13" fillId="0" borderId="0" xfId="0" applyNumberFormat="1" applyFont="1" applyAlignment="1">
      <alignment horizontal="center" vertical="center" wrapText="1"/>
    </xf>
    <xf numFmtId="0" fontId="13" fillId="0" borderId="139" xfId="0" applyFont="1" applyBorder="1" applyAlignment="1">
      <alignment horizontal="justify" vertical="center" wrapText="1"/>
    </xf>
    <xf numFmtId="0" fontId="13" fillId="0" borderId="138" xfId="0" applyFont="1" applyBorder="1" applyAlignment="1">
      <alignment horizontal="justify" vertical="center"/>
    </xf>
    <xf numFmtId="169" fontId="13" fillId="0" borderId="136" xfId="0" applyNumberFormat="1" applyFont="1" applyBorder="1" applyAlignment="1">
      <alignment horizontal="justify" vertical="center" wrapText="1"/>
    </xf>
    <xf numFmtId="169" fontId="13" fillId="0" borderId="136" xfId="0" applyNumberFormat="1" applyFont="1" applyBorder="1" applyAlignment="1">
      <alignment horizontal="right" vertical="center" wrapText="1"/>
    </xf>
    <xf numFmtId="169" fontId="13" fillId="0" borderId="136" xfId="0" applyNumberFormat="1" applyFont="1" applyBorder="1" applyAlignment="1">
      <alignment horizontal="center" vertical="center" wrapText="1"/>
    </xf>
    <xf numFmtId="169" fontId="13" fillId="0" borderId="0" xfId="0" applyNumberFormat="1" applyFont="1" applyAlignment="1">
      <alignment horizontal="justify" vertical="center" wrapText="1"/>
    </xf>
    <xf numFmtId="0" fontId="13" fillId="0" borderId="137" xfId="52" applyFont="1" applyBorder="1" applyAlignment="1">
      <alignment horizontal="center" vertical="center"/>
    </xf>
    <xf numFmtId="0" fontId="13" fillId="0" borderId="136" xfId="52" applyFont="1" applyBorder="1" applyAlignment="1">
      <alignment horizontal="center" vertical="center" wrapText="1"/>
    </xf>
    <xf numFmtId="0" fontId="13" fillId="0" borderId="138" xfId="52" applyFont="1" applyBorder="1" applyAlignment="1">
      <alignment vertical="center"/>
    </xf>
    <xf numFmtId="0" fontId="13" fillId="0" borderId="139" xfId="52" applyFont="1" applyBorder="1" applyAlignment="1">
      <alignment horizontal="justify" vertical="center" wrapText="1"/>
    </xf>
    <xf numFmtId="0" fontId="60" fillId="0" borderId="136" xfId="52" applyFont="1" applyBorder="1" applyAlignment="1">
      <alignment horizontal="center" vertical="center" wrapText="1"/>
    </xf>
    <xf numFmtId="0" fontId="55" fillId="0" borderId="136" xfId="52" applyFont="1" applyBorder="1" applyAlignment="1">
      <alignment horizontal="justify" vertical="center" wrapText="1"/>
    </xf>
    <xf numFmtId="0" fontId="55" fillId="0" borderId="136" xfId="52" applyFont="1" applyBorder="1" applyAlignment="1">
      <alignment horizontal="center" vertical="center" wrapText="1"/>
    </xf>
    <xf numFmtId="171" fontId="55" fillId="0" borderId="136" xfId="52" applyNumberFormat="1" applyFont="1" applyBorder="1" applyAlignment="1">
      <alignment horizontal="center" vertical="center" wrapText="1"/>
    </xf>
    <xf numFmtId="175" fontId="55" fillId="0" borderId="136" xfId="52" applyNumberFormat="1" applyFont="1" applyBorder="1" applyAlignment="1">
      <alignment horizontal="justify" vertical="center" wrapText="1"/>
    </xf>
    <xf numFmtId="0" fontId="55" fillId="0" borderId="138" xfId="52" applyFont="1" applyBorder="1" applyAlignment="1">
      <alignment horizontal="justify" vertical="center"/>
    </xf>
    <xf numFmtId="0" fontId="55" fillId="0" borderId="139" xfId="52" applyFont="1" applyBorder="1" applyAlignment="1">
      <alignment horizontal="justify" vertical="center" wrapText="1"/>
    </xf>
    <xf numFmtId="0" fontId="60" fillId="0" borderId="138" xfId="52" applyFont="1" applyBorder="1" applyAlignment="1">
      <alignment horizontal="justify" vertical="center"/>
    </xf>
    <xf numFmtId="0" fontId="60" fillId="0" borderId="139" xfId="52" applyFont="1" applyBorder="1" applyAlignment="1">
      <alignment horizontal="justify" vertical="center" wrapText="1"/>
    </xf>
    <xf numFmtId="0" fontId="54" fillId="0" borderId="136" xfId="52" applyFont="1" applyBorder="1" applyAlignment="1">
      <alignment horizontal="justify" vertical="center" wrapText="1"/>
    </xf>
    <xf numFmtId="9" fontId="13" fillId="0" borderId="136" xfId="28" applyFont="1" applyFill="1" applyBorder="1" applyAlignment="1">
      <alignment horizontal="center" vertical="center" wrapText="1"/>
    </xf>
    <xf numFmtId="0" fontId="13" fillId="0" borderId="136" xfId="52" applyFont="1" applyBorder="1" applyAlignment="1">
      <alignment horizontal="justify" vertical="center" wrapText="1"/>
    </xf>
    <xf numFmtId="175" fontId="13" fillId="0" borderId="136" xfId="52" applyNumberFormat="1" applyFont="1" applyBorder="1" applyAlignment="1">
      <alignment horizontal="justify" vertical="center" wrapText="1"/>
    </xf>
    <xf numFmtId="0" fontId="78" fillId="4" borderId="28" xfId="45" applyFont="1" applyFill="1" applyBorder="1" applyAlignment="1">
      <alignment horizontal="right" vertical="center"/>
    </xf>
    <xf numFmtId="166" fontId="78" fillId="4" borderId="6" xfId="165" applyFont="1" applyFill="1" applyBorder="1" applyAlignment="1">
      <alignment vertical="center"/>
    </xf>
    <xf numFmtId="0" fontId="78" fillId="4" borderId="7" xfId="45" applyFont="1" applyFill="1" applyBorder="1" applyAlignment="1">
      <alignment vertical="center"/>
    </xf>
    <xf numFmtId="0" fontId="13" fillId="4" borderId="7" xfId="52" applyFont="1" applyFill="1" applyBorder="1" applyAlignment="1">
      <alignment vertical="center"/>
    </xf>
    <xf numFmtId="4" fontId="13" fillId="4" borderId="7" xfId="52" applyNumberFormat="1" applyFont="1" applyFill="1" applyBorder="1" applyAlignment="1">
      <alignment horizontal="right" vertical="center"/>
    </xf>
    <xf numFmtId="167" fontId="13" fillId="4" borderId="5" xfId="8" applyFont="1" applyFill="1" applyBorder="1" applyAlignment="1">
      <alignment horizontal="center" vertical="center"/>
    </xf>
    <xf numFmtId="169" fontId="13" fillId="4" borderId="5" xfId="52" applyNumberFormat="1" applyFont="1" applyFill="1" applyBorder="1" applyAlignment="1">
      <alignment horizontal="right" vertical="center"/>
    </xf>
    <xf numFmtId="169" fontId="13" fillId="4" borderId="29" xfId="52" applyNumberFormat="1" applyFont="1" applyFill="1" applyBorder="1" applyAlignment="1">
      <alignment horizontal="right" vertical="center"/>
    </xf>
    <xf numFmtId="166" fontId="14" fillId="4" borderId="0" xfId="7" applyFont="1" applyFill="1" applyBorder="1" applyAlignment="1">
      <alignment horizontal="left" vertical="center"/>
    </xf>
    <xf numFmtId="0" fontId="13" fillId="4" borderId="0" xfId="52" applyFont="1" applyFill="1"/>
    <xf numFmtId="170" fontId="13" fillId="4" borderId="5" xfId="7" applyNumberFormat="1" applyFont="1" applyFill="1" applyBorder="1" applyAlignment="1">
      <alignment horizontal="center" vertical="center"/>
    </xf>
    <xf numFmtId="167" fontId="13" fillId="4" borderId="0" xfId="52" applyNumberFormat="1" applyFont="1" applyFill="1"/>
    <xf numFmtId="0" fontId="81" fillId="0" borderId="0" xfId="52" applyFont="1" applyAlignment="1">
      <alignment horizontal="left" vertical="center"/>
    </xf>
    <xf numFmtId="0" fontId="14" fillId="0" borderId="136" xfId="52" applyFont="1" applyBorder="1" applyAlignment="1">
      <alignment horizontal="center" vertical="center" wrapText="1"/>
    </xf>
    <xf numFmtId="171" fontId="13" fillId="0" borderId="136" xfId="52" applyNumberFormat="1" applyFont="1" applyBorder="1" applyAlignment="1">
      <alignment horizontal="center" vertical="center" wrapText="1"/>
    </xf>
    <xf numFmtId="175" fontId="13" fillId="0" borderId="136" xfId="52" applyNumberFormat="1" applyFont="1" applyBorder="1" applyAlignment="1">
      <alignment horizontal="center" vertical="center" wrapText="1"/>
    </xf>
    <xf numFmtId="2" fontId="13" fillId="0" borderId="136" xfId="52" applyNumberFormat="1" applyFont="1" applyBorder="1" applyAlignment="1">
      <alignment horizontal="center" vertical="center" wrapText="1"/>
    </xf>
    <xf numFmtId="0" fontId="13" fillId="0" borderId="138" xfId="52" applyFont="1" applyBorder="1" applyAlignment="1">
      <alignment horizontal="justify" vertical="center"/>
    </xf>
    <xf numFmtId="0" fontId="46" fillId="0" borderId="7" xfId="0" applyFont="1" applyBorder="1" applyAlignment="1">
      <alignment vertical="center"/>
    </xf>
    <xf numFmtId="169" fontId="46" fillId="0" borderId="5" xfId="0" applyNumberFormat="1" applyFont="1" applyBorder="1" applyAlignment="1">
      <alignment horizontal="right" vertical="center"/>
    </xf>
    <xf numFmtId="0" fontId="46" fillId="0" borderId="66" xfId="0" applyFont="1" applyBorder="1" applyAlignment="1">
      <alignment vertical="center"/>
    </xf>
    <xf numFmtId="166" fontId="82" fillId="0" borderId="7" xfId="2" applyFont="1" applyFill="1" applyBorder="1" applyAlignment="1">
      <alignment vertical="center"/>
    </xf>
    <xf numFmtId="0" fontId="46" fillId="0" borderId="132" xfId="0" applyFont="1" applyBorder="1" applyAlignment="1">
      <alignment horizontal="left" vertical="center"/>
    </xf>
    <xf numFmtId="4" fontId="15" fillId="0" borderId="140" xfId="0" applyNumberFormat="1" applyFont="1" applyBorder="1" applyAlignment="1">
      <alignment horizontal="center" vertical="center"/>
    </xf>
    <xf numFmtId="4" fontId="15" fillId="0" borderId="8" xfId="0" applyNumberFormat="1" applyFont="1" applyBorder="1" applyAlignment="1">
      <alignment horizontal="right" vertical="center"/>
    </xf>
    <xf numFmtId="4" fontId="16" fillId="0" borderId="8" xfId="0" applyNumberFormat="1" applyFont="1" applyBorder="1" applyAlignment="1">
      <alignment horizontal="right" vertical="center"/>
    </xf>
    <xf numFmtId="2" fontId="16" fillId="4" borderId="7" xfId="0" applyNumberFormat="1" applyFont="1" applyFill="1" applyBorder="1" applyAlignment="1">
      <alignment horizontal="center"/>
    </xf>
    <xf numFmtId="4" fontId="15" fillId="0" borderId="7" xfId="46" applyNumberFormat="1" applyFont="1" applyBorder="1" applyAlignment="1">
      <alignment vertical="center"/>
    </xf>
    <xf numFmtId="4" fontId="15" fillId="0" borderId="7" xfId="46" applyNumberFormat="1" applyFont="1" applyBorder="1" applyAlignment="1">
      <alignment horizontal="center" vertical="center"/>
    </xf>
    <xf numFmtId="4" fontId="15" fillId="0" borderId="7" xfId="46" quotePrefix="1" applyNumberFormat="1" applyFont="1" applyBorder="1" applyAlignment="1">
      <alignment vertical="center"/>
    </xf>
    <xf numFmtId="4" fontId="15" fillId="0" borderId="8" xfId="46" applyNumberFormat="1" applyFont="1" applyBorder="1" applyAlignment="1">
      <alignment horizontal="center" vertical="center"/>
    </xf>
    <xf numFmtId="4" fontId="15" fillId="0" borderId="8" xfId="46" applyNumberFormat="1" applyFont="1" applyBorder="1" applyAlignment="1">
      <alignment horizontal="right" vertical="center"/>
    </xf>
    <xf numFmtId="4" fontId="16" fillId="0" borderId="7" xfId="46" applyNumberFormat="1" applyFont="1" applyBorder="1" applyAlignment="1">
      <alignment horizontal="center" vertical="center"/>
    </xf>
    <xf numFmtId="0" fontId="13" fillId="0" borderId="108" xfId="0" applyFont="1" applyBorder="1" applyAlignment="1">
      <alignment horizontal="center" vertical="center"/>
    </xf>
    <xf numFmtId="0" fontId="13" fillId="0" borderId="138" xfId="52" applyFont="1" applyBorder="1" applyAlignment="1">
      <alignment horizontal="center" vertical="center"/>
    </xf>
    <xf numFmtId="0" fontId="13" fillId="0" borderId="138" xfId="0" applyFont="1" applyBorder="1" applyAlignment="1">
      <alignment horizontal="center" vertical="center"/>
    </xf>
    <xf numFmtId="0" fontId="13" fillId="0" borderId="139" xfId="0" applyFont="1" applyBorder="1" applyAlignment="1">
      <alignment horizontal="center" vertical="center"/>
    </xf>
    <xf numFmtId="0" fontId="41" fillId="0" borderId="0" xfId="52" applyFont="1" applyAlignment="1">
      <alignment horizontal="center" vertical="center"/>
    </xf>
    <xf numFmtId="0" fontId="13" fillId="0" borderId="18" xfId="52" applyFont="1" applyBorder="1" applyAlignment="1">
      <alignment horizontal="center" vertical="center" wrapText="1"/>
    </xf>
    <xf numFmtId="0" fontId="13" fillId="0" borderId="108" xfId="52" applyFont="1" applyBorder="1" applyAlignment="1">
      <alignment horizontal="center" vertical="center" wrapText="1"/>
    </xf>
    <xf numFmtId="0" fontId="13" fillId="0" borderId="108" xfId="0" applyFont="1" applyBorder="1" applyAlignment="1">
      <alignment horizontal="center" vertical="center" wrapText="1"/>
    </xf>
    <xf numFmtId="176" fontId="47" fillId="0" borderId="110" xfId="1" applyNumberFormat="1" applyFont="1" applyBorder="1" applyAlignment="1">
      <alignment horizontal="center" vertical="center"/>
    </xf>
    <xf numFmtId="0" fontId="33" fillId="0" borderId="108" xfId="52" applyFont="1" applyBorder="1" applyAlignment="1">
      <alignment horizontal="center" vertical="center"/>
    </xf>
    <xf numFmtId="0" fontId="55" fillId="0" borderId="0" xfId="52" applyFont="1" applyAlignment="1">
      <alignment horizontal="center" vertical="center" wrapText="1"/>
    </xf>
    <xf numFmtId="176" fontId="13" fillId="0" borderId="0" xfId="1" applyNumberFormat="1" applyFont="1" applyFill="1" applyBorder="1" applyAlignment="1">
      <alignment horizontal="center" vertical="center" wrapText="1"/>
    </xf>
    <xf numFmtId="0" fontId="13" fillId="0" borderId="0" xfId="9" applyFont="1" applyAlignment="1">
      <alignment horizontal="center" vertical="center"/>
    </xf>
    <xf numFmtId="0" fontId="13" fillId="0" borderId="137" xfId="0" applyFont="1" applyBorder="1" applyAlignment="1">
      <alignment horizontal="left" vertical="center"/>
    </xf>
    <xf numFmtId="175" fontId="55" fillId="0" borderId="136" xfId="0" applyNumberFormat="1" applyFont="1" applyBorder="1" applyAlignment="1">
      <alignment horizontal="justify" vertical="center" wrapText="1"/>
    </xf>
    <xf numFmtId="0" fontId="13" fillId="0" borderId="136" xfId="0" applyFont="1" applyBorder="1" applyAlignment="1">
      <alignment horizontal="left" vertical="center" wrapText="1"/>
    </xf>
    <xf numFmtId="0" fontId="60" fillId="0" borderId="136" xfId="0" applyFont="1" applyBorder="1" applyAlignment="1">
      <alignment horizontal="center" vertical="center" wrapText="1"/>
    </xf>
    <xf numFmtId="0" fontId="55" fillId="0" borderId="136" xfId="0" applyFont="1" applyBorder="1" applyAlignment="1">
      <alignment horizontal="center" vertical="center" wrapText="1"/>
    </xf>
    <xf numFmtId="9" fontId="55" fillId="0" borderId="136" xfId="28" applyFont="1" applyFill="1" applyBorder="1" applyAlignment="1">
      <alignment horizontal="center" vertical="center" wrapText="1"/>
    </xf>
    <xf numFmtId="0" fontId="55" fillId="0" borderId="136" xfId="0" applyFont="1" applyBorder="1" applyAlignment="1">
      <alignment horizontal="justify" vertical="center" wrapText="1"/>
    </xf>
    <xf numFmtId="0" fontId="55" fillId="0" borderId="0" xfId="0" applyFont="1" applyAlignment="1">
      <alignment horizontal="justify" vertical="center" wrapText="1"/>
    </xf>
    <xf numFmtId="175" fontId="55" fillId="0" borderId="0" xfId="0" applyNumberFormat="1" applyFont="1" applyAlignment="1">
      <alignment horizontal="justify" vertical="center" wrapText="1"/>
    </xf>
    <xf numFmtId="0" fontId="13" fillId="0" borderId="8" xfId="52" applyFont="1" applyBorder="1" applyAlignment="1">
      <alignment horizontal="left"/>
    </xf>
    <xf numFmtId="166" fontId="14" fillId="0" borderId="140" xfId="2" applyFont="1" applyFill="1" applyBorder="1" applyAlignment="1">
      <alignment vertical="center"/>
    </xf>
    <xf numFmtId="166" fontId="14" fillId="0" borderId="140" xfId="2" applyFont="1" applyFill="1" applyBorder="1" applyAlignment="1">
      <alignment horizontal="center" vertical="center"/>
    </xf>
    <xf numFmtId="167" fontId="15" fillId="0" borderId="140" xfId="1" applyFont="1" applyFill="1" applyBorder="1" applyAlignment="1">
      <alignment horizontal="center" vertical="center"/>
    </xf>
    <xf numFmtId="9" fontId="15" fillId="0" borderId="7" xfId="168" applyFont="1" applyFill="1" applyBorder="1" applyAlignment="1">
      <alignment horizontal="center" vertical="center"/>
    </xf>
    <xf numFmtId="167" fontId="15" fillId="0" borderId="132" xfId="9" applyNumberFormat="1" applyFont="1" applyBorder="1" applyAlignment="1">
      <alignment horizontal="center" vertical="center"/>
    </xf>
    <xf numFmtId="167" fontId="15" fillId="0" borderId="132" xfId="9" applyNumberFormat="1" applyFont="1" applyBorder="1" applyAlignment="1">
      <alignment vertical="center"/>
    </xf>
    <xf numFmtId="167" fontId="15" fillId="0" borderId="120" xfId="9" applyNumberFormat="1" applyFont="1" applyBorder="1" applyAlignment="1">
      <alignment horizontal="center" vertical="center"/>
    </xf>
    <xf numFmtId="167" fontId="16" fillId="8" borderId="132" xfId="1" applyFont="1" applyFill="1" applyBorder="1" applyAlignment="1">
      <alignment horizontal="center" vertical="center"/>
    </xf>
    <xf numFmtId="167" fontId="16" fillId="10" borderId="132" xfId="1" applyFont="1" applyFill="1" applyBorder="1" applyAlignment="1">
      <alignment horizontal="center" vertical="center"/>
    </xf>
    <xf numFmtId="167" fontId="16" fillId="10" borderId="7" xfId="1" applyFont="1" applyFill="1" applyBorder="1" applyAlignment="1">
      <alignment horizontal="right" vertical="center"/>
    </xf>
    <xf numFmtId="4" fontId="16" fillId="0" borderId="7" xfId="9" applyNumberFormat="1" applyFont="1" applyBorder="1" applyAlignment="1">
      <alignment horizontal="right" vertical="center"/>
    </xf>
    <xf numFmtId="0" fontId="13" fillId="0" borderId="108" xfId="52" applyFont="1" applyBorder="1" applyAlignment="1">
      <alignment horizontal="justify" vertical="center" wrapText="1"/>
    </xf>
    <xf numFmtId="167" fontId="15" fillId="0" borderId="132" xfId="1" quotePrefix="1" applyFont="1" applyFill="1" applyBorder="1" applyAlignment="1">
      <alignment vertical="center"/>
    </xf>
    <xf numFmtId="166" fontId="13" fillId="0" borderId="0" xfId="2" applyFont="1" applyFill="1" applyAlignment="1">
      <alignment horizontal="center" vertical="center"/>
    </xf>
    <xf numFmtId="178" fontId="15" fillId="4" borderId="120" xfId="1" applyNumberFormat="1" applyFont="1" applyFill="1" applyBorder="1" applyAlignment="1">
      <alignment horizontal="center" vertical="center"/>
    </xf>
    <xf numFmtId="0" fontId="21" fillId="0" borderId="0" xfId="52" applyFont="1" applyAlignment="1">
      <alignment horizontal="left" vertical="top"/>
    </xf>
    <xf numFmtId="0" fontId="15" fillId="0" borderId="110" xfId="0" applyFont="1" applyBorder="1" applyAlignment="1">
      <alignment horizontal="justify" vertical="center" wrapText="1"/>
    </xf>
    <xf numFmtId="0" fontId="15" fillId="0" borderId="136" xfId="0" applyFont="1" applyBorder="1" applyAlignment="1">
      <alignment horizontal="justify" vertical="center" wrapText="1"/>
    </xf>
    <xf numFmtId="0" fontId="15" fillId="0" borderId="0" xfId="52" applyFont="1" applyAlignment="1">
      <alignment horizontal="justify" vertical="center" wrapText="1"/>
    </xf>
    <xf numFmtId="0" fontId="14" fillId="0" borderId="110" xfId="9" applyFont="1" applyBorder="1" applyAlignment="1">
      <alignment horizontal="center" vertical="center" wrapText="1"/>
    </xf>
    <xf numFmtId="0" fontId="13" fillId="0" borderId="110" xfId="9" applyFont="1" applyBorder="1" applyAlignment="1">
      <alignment horizontal="justify" vertical="center" wrapText="1"/>
    </xf>
    <xf numFmtId="0" fontId="15" fillId="0" borderId="136" xfId="52" applyFont="1" applyBorder="1" applyAlignment="1">
      <alignment horizontal="justify" vertical="center" wrapText="1"/>
    </xf>
    <xf numFmtId="166" fontId="13" fillId="0" borderId="0" xfId="2" applyFont="1" applyAlignment="1">
      <alignment horizontal="left" vertical="center"/>
    </xf>
    <xf numFmtId="0" fontId="13" fillId="0" borderId="139" xfId="52" applyFont="1" applyBorder="1" applyAlignment="1">
      <alignment horizontal="center" vertical="center"/>
    </xf>
    <xf numFmtId="167" fontId="11" fillId="0" borderId="0" xfId="1" applyFont="1" applyFill="1"/>
    <xf numFmtId="166" fontId="29" fillId="0" borderId="0" xfId="2" applyFont="1"/>
    <xf numFmtId="166" fontId="48" fillId="0" borderId="0" xfId="2" applyFont="1"/>
    <xf numFmtId="166" fontId="13" fillId="0" borderId="0" xfId="2" applyFont="1" applyFill="1" applyAlignment="1">
      <alignment vertical="center"/>
    </xf>
    <xf numFmtId="166" fontId="13" fillId="0" borderId="0" xfId="2" applyFont="1"/>
    <xf numFmtId="180" fontId="29" fillId="0" borderId="0" xfId="2" applyNumberFormat="1" applyFont="1"/>
    <xf numFmtId="0" fontId="82" fillId="0" borderId="0" xfId="0" applyFont="1" applyAlignment="1">
      <alignment horizontal="left" vertical="center"/>
    </xf>
    <xf numFmtId="0" fontId="82" fillId="0" borderId="0" xfId="0" applyFont="1" applyAlignment="1">
      <alignment vertical="center"/>
    </xf>
    <xf numFmtId="166" fontId="84" fillId="0" borderId="0" xfId="2" applyFont="1" applyFill="1" applyBorder="1" applyAlignment="1">
      <alignment vertical="center"/>
    </xf>
    <xf numFmtId="0" fontId="84" fillId="0" borderId="0" xfId="0" applyFont="1" applyAlignment="1">
      <alignment vertical="center"/>
    </xf>
    <xf numFmtId="170" fontId="84" fillId="0" borderId="0" xfId="2" applyNumberFormat="1" applyFont="1" applyFill="1" applyAlignment="1">
      <alignment horizontal="center" vertical="center"/>
    </xf>
    <xf numFmtId="0" fontId="84" fillId="0" borderId="0" xfId="0" applyFont="1"/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left" vertical="center"/>
    </xf>
    <xf numFmtId="4" fontId="84" fillId="0" borderId="0" xfId="0" applyNumberFormat="1" applyFont="1" applyAlignment="1">
      <alignment horizontal="right" vertical="center"/>
    </xf>
    <xf numFmtId="4" fontId="84" fillId="0" borderId="0" xfId="0" applyNumberFormat="1" applyFont="1" applyAlignment="1">
      <alignment vertical="center"/>
    </xf>
    <xf numFmtId="4" fontId="84" fillId="0" borderId="0" xfId="0" applyNumberFormat="1" applyFont="1" applyAlignment="1">
      <alignment horizontal="center" vertical="center"/>
    </xf>
    <xf numFmtId="4" fontId="84" fillId="0" borderId="0" xfId="0" applyNumberFormat="1" applyFont="1" applyAlignment="1">
      <alignment horizontal="left" vertical="center"/>
    </xf>
    <xf numFmtId="0" fontId="82" fillId="0" borderId="24" xfId="0" applyFont="1" applyBorder="1" applyAlignment="1">
      <alignment horizontal="center" vertical="center" wrapText="1"/>
    </xf>
    <xf numFmtId="4" fontId="82" fillId="0" borderId="26" xfId="0" applyNumberFormat="1" applyFont="1" applyBorder="1" applyAlignment="1">
      <alignment horizontal="center" vertical="center" wrapText="1"/>
    </xf>
    <xf numFmtId="4" fontId="82" fillId="0" borderId="25" xfId="0" applyNumberFormat="1" applyFont="1" applyBorder="1" applyAlignment="1">
      <alignment horizontal="left" vertical="center" wrapText="1"/>
    </xf>
    <xf numFmtId="4" fontId="82" fillId="0" borderId="25" xfId="0" applyNumberFormat="1" applyFont="1" applyBorder="1" applyAlignment="1">
      <alignment horizontal="center" vertical="center" wrapText="1"/>
    </xf>
    <xf numFmtId="4" fontId="82" fillId="0" borderId="27" xfId="0" applyNumberFormat="1" applyFont="1" applyBorder="1" applyAlignment="1">
      <alignment horizontal="center" vertical="center" wrapText="1"/>
    </xf>
    <xf numFmtId="0" fontId="85" fillId="0" borderId="52" xfId="0" quotePrefix="1" applyFont="1" applyBorder="1" applyAlignment="1">
      <alignment horizontal="center" vertical="center"/>
    </xf>
    <xf numFmtId="170" fontId="85" fillId="0" borderId="58" xfId="2" quotePrefix="1" applyNumberFormat="1" applyFont="1" applyFill="1" applyBorder="1" applyAlignment="1">
      <alignment horizontal="center" vertical="center"/>
    </xf>
    <xf numFmtId="4" fontId="85" fillId="0" borderId="58" xfId="0" quotePrefix="1" applyNumberFormat="1" applyFont="1" applyBorder="1" applyAlignment="1">
      <alignment horizontal="center" vertical="center"/>
    </xf>
    <xf numFmtId="4" fontId="85" fillId="0" borderId="23" xfId="0" quotePrefix="1" applyNumberFormat="1" applyFont="1" applyBorder="1" applyAlignment="1">
      <alignment horizontal="left" vertical="center"/>
    </xf>
    <xf numFmtId="4" fontId="85" fillId="0" borderId="23" xfId="0" quotePrefix="1" applyNumberFormat="1" applyFont="1" applyBorder="1" applyAlignment="1">
      <alignment horizontal="center" vertical="center"/>
    </xf>
    <xf numFmtId="4" fontId="85" fillId="0" borderId="53" xfId="0" quotePrefix="1" applyNumberFormat="1" applyFont="1" applyBorder="1" applyAlignment="1">
      <alignment horizontal="center" vertical="center"/>
    </xf>
    <xf numFmtId="0" fontId="84" fillId="0" borderId="30" xfId="0" applyFont="1" applyBorder="1" applyAlignment="1">
      <alignment vertical="center"/>
    </xf>
    <xf numFmtId="0" fontId="84" fillId="0" borderId="10" xfId="0" applyFont="1" applyBorder="1" applyAlignment="1">
      <alignment vertical="center"/>
    </xf>
    <xf numFmtId="166" fontId="84" fillId="0" borderId="10" xfId="2" applyFont="1" applyFill="1" applyBorder="1" applyAlignment="1">
      <alignment vertical="center"/>
    </xf>
    <xf numFmtId="4" fontId="84" fillId="0" borderId="67" xfId="0" applyNumberFormat="1" applyFont="1" applyBorder="1" applyAlignment="1">
      <alignment horizontal="right" vertical="center"/>
    </xf>
    <xf numFmtId="170" fontId="84" fillId="0" borderId="11" xfId="2" applyNumberFormat="1" applyFont="1" applyFill="1" applyBorder="1" applyAlignment="1">
      <alignment horizontal="center" vertical="center"/>
    </xf>
    <xf numFmtId="4" fontId="84" fillId="0" borderId="11" xfId="0" applyNumberFormat="1" applyFont="1" applyBorder="1" applyAlignment="1">
      <alignment horizontal="center" vertical="center"/>
    </xf>
    <xf numFmtId="4" fontId="84" fillId="0" borderId="10" xfId="0" applyNumberFormat="1" applyFont="1" applyBorder="1" applyAlignment="1">
      <alignment horizontal="left" vertical="center"/>
    </xf>
    <xf numFmtId="4" fontId="84" fillId="0" borderId="11" xfId="0" applyNumberFormat="1" applyFont="1" applyBorder="1" applyAlignment="1">
      <alignment horizontal="right" vertical="center"/>
    </xf>
    <xf numFmtId="4" fontId="84" fillId="0" borderId="31" xfId="0" applyNumberFormat="1" applyFont="1" applyBorder="1" applyAlignment="1">
      <alignment horizontal="right" vertical="center"/>
    </xf>
    <xf numFmtId="0" fontId="84" fillId="0" borderId="28" xfId="0" applyFont="1" applyBorder="1" applyAlignment="1">
      <alignment horizontal="right" vertical="center"/>
    </xf>
    <xf numFmtId="166" fontId="84" fillId="0" borderId="7" xfId="2" applyFont="1" applyFill="1" applyBorder="1" applyAlignment="1">
      <alignment vertical="center"/>
    </xf>
    <xf numFmtId="0" fontId="84" fillId="0" borderId="7" xfId="0" applyFont="1" applyBorder="1" applyAlignment="1">
      <alignment vertical="center"/>
    </xf>
    <xf numFmtId="4" fontId="84" fillId="0" borderId="8" xfId="0" applyNumberFormat="1" applyFont="1" applyBorder="1" applyAlignment="1">
      <alignment horizontal="right" vertical="center"/>
    </xf>
    <xf numFmtId="170" fontId="84" fillId="0" borderId="5" xfId="2" applyNumberFormat="1" applyFont="1" applyFill="1" applyBorder="1" applyAlignment="1">
      <alignment horizontal="center" vertical="center"/>
    </xf>
    <xf numFmtId="4" fontId="84" fillId="0" borderId="5" xfId="0" applyNumberFormat="1" applyFont="1" applyBorder="1" applyAlignment="1">
      <alignment horizontal="center" vertical="center"/>
    </xf>
    <xf numFmtId="169" fontId="84" fillId="0" borderId="7" xfId="0" applyNumberFormat="1" applyFont="1" applyBorder="1" applyAlignment="1">
      <alignment horizontal="left" vertical="center"/>
    </xf>
    <xf numFmtId="169" fontId="84" fillId="0" borderId="5" xfId="0" applyNumberFormat="1" applyFont="1" applyBorder="1" applyAlignment="1">
      <alignment horizontal="right" vertical="center"/>
    </xf>
    <xf numFmtId="169" fontId="84" fillId="0" borderId="29" xfId="0" applyNumberFormat="1" applyFont="1" applyBorder="1" applyAlignment="1">
      <alignment horizontal="right" vertical="center"/>
    </xf>
    <xf numFmtId="0" fontId="84" fillId="0" borderId="7" xfId="0" applyFont="1" applyBorder="1" applyAlignment="1">
      <alignment horizontal="right" vertical="center"/>
    </xf>
    <xf numFmtId="0" fontId="84" fillId="0" borderId="66" xfId="0" applyFont="1" applyBorder="1" applyAlignment="1">
      <alignment horizontal="left" vertical="center" indent="2"/>
    </xf>
    <xf numFmtId="169" fontId="86" fillId="0" borderId="7" xfId="0" applyNumberFormat="1" applyFont="1" applyBorder="1" applyAlignment="1">
      <alignment horizontal="left" vertical="center"/>
    </xf>
    <xf numFmtId="0" fontId="84" fillId="0" borderId="5" xfId="52" applyFont="1" applyBorder="1" applyAlignment="1">
      <alignment horizontal="center" vertical="center" wrapText="1"/>
    </xf>
    <xf numFmtId="169" fontId="84" fillId="0" borderId="7" xfId="0" applyNumberFormat="1" applyFont="1" applyBorder="1" applyAlignment="1">
      <alignment horizontal="right" vertical="center"/>
    </xf>
    <xf numFmtId="4" fontId="87" fillId="0" borderId="49" xfId="0" applyNumberFormat="1" applyFont="1" applyBorder="1" applyAlignment="1">
      <alignment horizontal="centerContinuous" vertical="center"/>
    </xf>
    <xf numFmtId="4" fontId="87" fillId="0" borderId="18" xfId="0" applyNumberFormat="1" applyFont="1" applyBorder="1" applyAlignment="1">
      <alignment horizontal="centerContinuous" vertical="center"/>
    </xf>
    <xf numFmtId="4" fontId="87" fillId="0" borderId="18" xfId="0" applyNumberFormat="1" applyFont="1" applyBorder="1" applyAlignment="1">
      <alignment horizontal="center" vertical="center"/>
    </xf>
    <xf numFmtId="169" fontId="82" fillId="0" borderId="54" xfId="0" applyNumberFormat="1" applyFont="1" applyBorder="1" applyAlignment="1">
      <alignment horizontal="right" vertical="center"/>
    </xf>
    <xf numFmtId="0" fontId="84" fillId="0" borderId="66" xfId="0" applyFont="1" applyBorder="1" applyAlignment="1">
      <alignment horizontal="right" vertical="center"/>
    </xf>
    <xf numFmtId="0" fontId="84" fillId="0" borderId="66" xfId="0" applyFont="1" applyBorder="1" applyAlignment="1">
      <alignment vertical="center"/>
    </xf>
    <xf numFmtId="4" fontId="85" fillId="0" borderId="14" xfId="0" applyNumberFormat="1" applyFont="1" applyBorder="1" applyAlignment="1">
      <alignment horizontal="right" vertical="center"/>
    </xf>
    <xf numFmtId="0" fontId="84" fillId="0" borderId="92" xfId="0" applyFont="1" applyBorder="1" applyAlignment="1">
      <alignment horizontal="right" vertical="center"/>
    </xf>
    <xf numFmtId="0" fontId="84" fillId="0" borderId="6" xfId="0" applyFont="1" applyBorder="1" applyAlignment="1">
      <alignment horizontal="right" vertical="center"/>
    </xf>
    <xf numFmtId="166" fontId="84" fillId="0" borderId="66" xfId="2" applyFont="1" applyFill="1" applyBorder="1" applyAlignment="1">
      <alignment vertical="center"/>
    </xf>
    <xf numFmtId="4" fontId="85" fillId="0" borderId="8" xfId="0" applyNumberFormat="1" applyFont="1" applyBorder="1" applyAlignment="1">
      <alignment horizontal="right" vertical="center"/>
    </xf>
    <xf numFmtId="4" fontId="87" fillId="0" borderId="108" xfId="0" applyNumberFormat="1" applyFont="1" applyBorder="1" applyAlignment="1">
      <alignment horizontal="centerContinuous" vertical="center"/>
    </xf>
    <xf numFmtId="4" fontId="88" fillId="0" borderId="49" xfId="0" applyNumberFormat="1" applyFont="1" applyBorder="1" applyAlignment="1">
      <alignment horizontal="centerContinuous" vertical="center"/>
    </xf>
    <xf numFmtId="4" fontId="88" fillId="0" borderId="18" xfId="0" applyNumberFormat="1" applyFont="1" applyBorder="1" applyAlignment="1">
      <alignment horizontal="centerContinuous" vertical="center"/>
    </xf>
    <xf numFmtId="4" fontId="88" fillId="0" borderId="18" xfId="0" applyNumberFormat="1" applyFont="1" applyBorder="1" applyAlignment="1">
      <alignment horizontal="center" vertical="center"/>
    </xf>
    <xf numFmtId="169" fontId="63" fillId="0" borderId="54" xfId="0" applyNumberFormat="1" applyFont="1" applyBorder="1" applyAlignment="1">
      <alignment horizontal="right" vertical="center"/>
    </xf>
    <xf numFmtId="0" fontId="7" fillId="0" borderId="92" xfId="0" applyFont="1" applyBorder="1" applyAlignment="1">
      <alignment horizontal="right" vertical="center"/>
    </xf>
    <xf numFmtId="0" fontId="7" fillId="0" borderId="6" xfId="0" applyFont="1" applyBorder="1" applyAlignment="1">
      <alignment horizontal="right" vertical="center"/>
    </xf>
    <xf numFmtId="166" fontId="7" fillId="0" borderId="7" xfId="2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4" fontId="7" fillId="0" borderId="8" xfId="0" applyNumberFormat="1" applyFont="1" applyBorder="1" applyAlignment="1">
      <alignment horizontal="right" vertical="center"/>
    </xf>
    <xf numFmtId="170" fontId="7" fillId="0" borderId="5" xfId="2" applyNumberFormat="1" applyFont="1" applyFill="1" applyBorder="1" applyAlignment="1">
      <alignment horizontal="center" vertical="center"/>
    </xf>
    <xf numFmtId="4" fontId="7" fillId="0" borderId="5" xfId="0" applyNumberFormat="1" applyFont="1" applyBorder="1" applyAlignment="1">
      <alignment horizontal="center" vertical="center"/>
    </xf>
    <xf numFmtId="169" fontId="7" fillId="0" borderId="29" xfId="0" applyNumberFormat="1" applyFont="1" applyBorder="1" applyAlignment="1">
      <alignment horizontal="right" vertical="center"/>
    </xf>
    <xf numFmtId="0" fontId="7" fillId="0" borderId="28" xfId="0" applyFont="1" applyBorder="1" applyAlignment="1">
      <alignment horizontal="right" vertical="center"/>
    </xf>
    <xf numFmtId="0" fontId="7" fillId="0" borderId="66" xfId="0" applyFont="1" applyBorder="1" applyAlignment="1">
      <alignment horizontal="right" vertical="center"/>
    </xf>
    <xf numFmtId="166" fontId="7" fillId="0" borderId="66" xfId="2" applyFont="1" applyFill="1" applyBorder="1" applyAlignment="1">
      <alignment vertical="center"/>
    </xf>
    <xf numFmtId="0" fontId="7" fillId="0" borderId="66" xfId="0" applyFont="1" applyBorder="1" applyAlignment="1">
      <alignment vertical="center"/>
    </xf>
    <xf numFmtId="4" fontId="89" fillId="0" borderId="14" xfId="0" applyNumberFormat="1" applyFont="1" applyBorder="1" applyAlignment="1">
      <alignment horizontal="right" vertical="center"/>
    </xf>
    <xf numFmtId="0" fontId="7" fillId="0" borderId="7" xfId="0" applyFont="1" applyBorder="1" applyAlignment="1">
      <alignment horizontal="right" vertical="center"/>
    </xf>
    <xf numFmtId="169" fontId="7" fillId="0" borderId="7" xfId="0" applyNumberFormat="1" applyFont="1" applyBorder="1" applyAlignment="1">
      <alignment horizontal="right" vertical="center"/>
    </xf>
    <xf numFmtId="169" fontId="7" fillId="0" borderId="5" xfId="0" applyNumberFormat="1" applyFont="1" applyBorder="1" applyAlignment="1">
      <alignment horizontal="right" vertical="center"/>
    </xf>
    <xf numFmtId="0" fontId="84" fillId="0" borderId="13" xfId="0" applyFont="1" applyBorder="1" applyAlignment="1">
      <alignment vertical="center"/>
    </xf>
    <xf numFmtId="4" fontId="85" fillId="0" borderId="13" xfId="0" applyNumberFormat="1" applyFont="1" applyBorder="1" applyAlignment="1">
      <alignment horizontal="right" vertical="center"/>
    </xf>
    <xf numFmtId="169" fontId="86" fillId="0" borderId="7" xfId="0" applyNumberFormat="1" applyFont="1" applyBorder="1" applyAlignment="1">
      <alignment horizontal="right" vertical="center"/>
    </xf>
    <xf numFmtId="4" fontId="87" fillId="0" borderId="49" xfId="0" applyNumberFormat="1" applyFont="1" applyBorder="1" applyAlignment="1">
      <alignment horizontal="right" vertical="center"/>
    </xf>
    <xf numFmtId="4" fontId="87" fillId="0" borderId="18" xfId="0" applyNumberFormat="1" applyFont="1" applyBorder="1" applyAlignment="1">
      <alignment horizontal="right" vertical="center"/>
    </xf>
    <xf numFmtId="4" fontId="90" fillId="0" borderId="18" xfId="0" applyNumberFormat="1" applyFont="1" applyBorder="1" applyAlignment="1">
      <alignment horizontal="center" vertical="center"/>
    </xf>
    <xf numFmtId="0" fontId="84" fillId="0" borderId="132" xfId="0" applyFont="1" applyBorder="1" applyAlignment="1">
      <alignment horizontal="left" vertical="center"/>
    </xf>
    <xf numFmtId="0" fontId="84" fillId="0" borderId="7" xfId="0" applyFont="1" applyBorder="1"/>
    <xf numFmtId="0" fontId="84" fillId="0" borderId="8" xfId="0" applyFont="1" applyBorder="1" applyAlignment="1">
      <alignment horizontal="right" vertical="center"/>
    </xf>
    <xf numFmtId="0" fontId="82" fillId="0" borderId="7" xfId="0" applyFont="1" applyBorder="1" applyAlignment="1">
      <alignment horizontal="center" vertical="center"/>
    </xf>
    <xf numFmtId="166" fontId="87" fillId="0" borderId="7" xfId="2" applyFont="1" applyFill="1" applyBorder="1" applyAlignment="1">
      <alignment vertical="center"/>
    </xf>
    <xf numFmtId="166" fontId="84" fillId="0" borderId="132" xfId="7" applyFont="1" applyFill="1" applyBorder="1" applyAlignment="1">
      <alignment horizontal="right" vertical="center"/>
    </xf>
    <xf numFmtId="0" fontId="82" fillId="0" borderId="28" xfId="0" applyFont="1" applyBorder="1" applyAlignment="1">
      <alignment horizontal="center" vertical="center"/>
    </xf>
    <xf numFmtId="4" fontId="91" fillId="0" borderId="5" xfId="0" applyNumberFormat="1" applyFont="1" applyBorder="1" applyAlignment="1">
      <alignment horizontal="center" vertical="center"/>
    </xf>
    <xf numFmtId="4" fontId="82" fillId="0" borderId="18" xfId="0" applyNumberFormat="1" applyFont="1" applyBorder="1" applyAlignment="1">
      <alignment horizontal="right" vertical="center"/>
    </xf>
    <xf numFmtId="4" fontId="82" fillId="0" borderId="18" xfId="0" applyNumberFormat="1" applyFont="1" applyBorder="1" applyAlignment="1">
      <alignment horizontal="centerContinuous" vertical="center"/>
    </xf>
    <xf numFmtId="166" fontId="7" fillId="0" borderId="5" xfId="2" applyFont="1" applyFill="1" applyBorder="1" applyAlignment="1">
      <alignment horizontal="center" vertical="center"/>
    </xf>
    <xf numFmtId="0" fontId="7" fillId="0" borderId="132" xfId="0" applyFont="1" applyBorder="1" applyAlignment="1">
      <alignment horizontal="left" vertical="center"/>
    </xf>
    <xf numFmtId="0" fontId="84" fillId="0" borderId="141" xfId="0" applyFont="1" applyBorder="1" applyAlignment="1">
      <alignment horizontal="right" vertical="center"/>
    </xf>
    <xf numFmtId="0" fontId="82" fillId="0" borderId="143" xfId="0" applyFont="1" applyBorder="1" applyAlignment="1">
      <alignment horizontal="center" vertical="center"/>
    </xf>
    <xf numFmtId="166" fontId="84" fillId="0" borderId="0" xfId="7" applyFont="1" applyFill="1" applyBorder="1" applyAlignment="1">
      <alignment horizontal="right" vertical="center"/>
    </xf>
    <xf numFmtId="4" fontId="85" fillId="0" borderId="0" xfId="0" applyNumberFormat="1" applyFont="1" applyAlignment="1">
      <alignment horizontal="right" vertical="center"/>
    </xf>
    <xf numFmtId="170" fontId="84" fillId="0" borderId="0" xfId="2" applyNumberFormat="1" applyFont="1" applyFill="1" applyBorder="1" applyAlignment="1">
      <alignment horizontal="center" vertical="center"/>
    </xf>
    <xf numFmtId="169" fontId="86" fillId="0" borderId="0" xfId="0" applyNumberFormat="1" applyFont="1" applyAlignment="1">
      <alignment horizontal="left" vertical="center"/>
    </xf>
    <xf numFmtId="169" fontId="84" fillId="0" borderId="142" xfId="0" applyNumberFormat="1" applyFont="1" applyBorder="1" applyAlignment="1">
      <alignment horizontal="right" vertical="center"/>
    </xf>
    <xf numFmtId="169" fontId="84" fillId="0" borderId="128" xfId="0" applyNumberFormat="1" applyFont="1" applyBorder="1" applyAlignment="1">
      <alignment horizontal="right" vertical="center"/>
    </xf>
    <xf numFmtId="4" fontId="87" fillId="0" borderId="73" xfId="0" applyNumberFormat="1" applyFont="1" applyBorder="1" applyAlignment="1">
      <alignment horizontal="centerContinuous" vertical="center"/>
    </xf>
    <xf numFmtId="4" fontId="87" fillId="0" borderId="16" xfId="0" applyNumberFormat="1" applyFont="1" applyBorder="1" applyAlignment="1">
      <alignment horizontal="centerContinuous" vertical="center"/>
    </xf>
    <xf numFmtId="4" fontId="87" fillId="0" borderId="16" xfId="0" applyNumberFormat="1" applyFont="1" applyBorder="1" applyAlignment="1">
      <alignment horizontal="center" vertical="center"/>
    </xf>
    <xf numFmtId="167" fontId="84" fillId="0" borderId="0" xfId="0" applyNumberFormat="1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166" fontId="82" fillId="0" borderId="6" xfId="2" applyFont="1" applyFill="1" applyBorder="1" applyAlignment="1">
      <alignment vertical="center"/>
    </xf>
    <xf numFmtId="0" fontId="82" fillId="0" borderId="7" xfId="0" applyFont="1" applyBorder="1" applyAlignment="1">
      <alignment vertical="center"/>
    </xf>
    <xf numFmtId="4" fontId="84" fillId="0" borderId="7" xfId="0" applyNumberFormat="1" applyFont="1" applyBorder="1" applyAlignment="1">
      <alignment horizontal="left" vertical="center"/>
    </xf>
    <xf numFmtId="4" fontId="84" fillId="0" borderId="5" xfId="0" applyNumberFormat="1" applyFont="1" applyBorder="1" applyAlignment="1">
      <alignment horizontal="right" vertical="center"/>
    </xf>
    <xf numFmtId="4" fontId="84" fillId="0" borderId="29" xfId="0" applyNumberFormat="1" applyFont="1" applyBorder="1" applyAlignment="1">
      <alignment horizontal="right" vertical="center"/>
    </xf>
    <xf numFmtId="169" fontId="84" fillId="0" borderId="0" xfId="0" applyNumberFormat="1" applyFont="1"/>
    <xf numFmtId="0" fontId="82" fillId="0" borderId="92" xfId="0" applyFont="1" applyBorder="1" applyAlignment="1">
      <alignment horizontal="center" vertical="center"/>
    </xf>
    <xf numFmtId="0" fontId="82" fillId="0" borderId="6" xfId="0" applyFont="1" applyBorder="1" applyAlignment="1">
      <alignment horizontal="center" vertical="center"/>
    </xf>
    <xf numFmtId="4" fontId="84" fillId="0" borderId="7" xfId="0" applyNumberFormat="1" applyFont="1" applyBorder="1" applyAlignment="1">
      <alignment horizontal="right" vertical="center"/>
    </xf>
    <xf numFmtId="4" fontId="87" fillId="0" borderId="110" xfId="0" applyNumberFormat="1" applyFont="1" applyBorder="1" applyAlignment="1">
      <alignment horizontal="right" vertical="center"/>
    </xf>
    <xf numFmtId="179" fontId="84" fillId="0" borderId="0" xfId="0" applyNumberFormat="1" applyFont="1"/>
    <xf numFmtId="4" fontId="88" fillId="0" borderId="110" xfId="0" applyNumberFormat="1" applyFont="1" applyBorder="1" applyAlignment="1">
      <alignment horizontal="right" vertical="center"/>
    </xf>
    <xf numFmtId="0" fontId="7" fillId="0" borderId="0" xfId="0" applyFont="1"/>
    <xf numFmtId="0" fontId="63" fillId="0" borderId="92" xfId="0" applyFont="1" applyBorder="1" applyAlignment="1">
      <alignment horizontal="center" vertical="center"/>
    </xf>
    <xf numFmtId="0" fontId="63" fillId="0" borderId="6" xfId="0" applyFont="1" applyBorder="1" applyAlignment="1">
      <alignment horizontal="center" vertical="center"/>
    </xf>
    <xf numFmtId="166" fontId="63" fillId="0" borderId="7" xfId="2" applyFont="1" applyFill="1" applyBorder="1" applyAlignment="1">
      <alignment vertical="center"/>
    </xf>
    <xf numFmtId="0" fontId="63" fillId="0" borderId="7" xfId="0" applyFont="1" applyBorder="1" applyAlignment="1">
      <alignment vertical="center"/>
    </xf>
    <xf numFmtId="4" fontId="7" fillId="0" borderId="7" xfId="0" applyNumberFormat="1" applyFont="1" applyBorder="1" applyAlignment="1">
      <alignment horizontal="right" vertical="center"/>
    </xf>
    <xf numFmtId="4" fontId="7" fillId="0" borderId="5" xfId="0" applyNumberFormat="1" applyFont="1" applyBorder="1" applyAlignment="1">
      <alignment horizontal="right" vertical="center"/>
    </xf>
    <xf numFmtId="4" fontId="7" fillId="0" borderId="29" xfId="0" applyNumberFormat="1" applyFont="1" applyBorder="1" applyAlignment="1">
      <alignment horizontal="right" vertical="center"/>
    </xf>
    <xf numFmtId="179" fontId="7" fillId="0" borderId="0" xfId="0" applyNumberFormat="1" applyFont="1"/>
    <xf numFmtId="4" fontId="86" fillId="0" borderId="7" xfId="0" applyNumberFormat="1" applyFont="1" applyBorder="1" applyAlignment="1">
      <alignment horizontal="right" vertical="center"/>
    </xf>
    <xf numFmtId="169" fontId="82" fillId="0" borderId="53" xfId="0" applyNumberFormat="1" applyFont="1" applyBorder="1" applyAlignment="1">
      <alignment horizontal="right" vertical="center"/>
    </xf>
    <xf numFmtId="0" fontId="82" fillId="0" borderId="0" xfId="0" applyFont="1"/>
    <xf numFmtId="0" fontId="94" fillId="0" borderId="0" xfId="0" applyFont="1" applyAlignment="1">
      <alignment horizontal="left" vertical="center"/>
    </xf>
    <xf numFmtId="0" fontId="69" fillId="0" borderId="0" xfId="3" applyNumberFormat="1" applyFont="1" applyAlignment="1">
      <alignment horizontal="center"/>
    </xf>
    <xf numFmtId="0" fontId="69" fillId="0" borderId="0" xfId="0" applyFont="1" applyAlignment="1">
      <alignment horizontal="left" vertical="center"/>
    </xf>
    <xf numFmtId="37" fontId="95" fillId="0" borderId="0" xfId="3" applyNumberFormat="1" applyFont="1" applyAlignment="1">
      <alignment horizontal="left" vertical="center"/>
    </xf>
    <xf numFmtId="0" fontId="96" fillId="0" borderId="0" xfId="3" applyNumberFormat="1" applyFont="1" applyAlignment="1">
      <alignment vertical="center" wrapText="1"/>
    </xf>
    <xf numFmtId="37" fontId="97" fillId="0" borderId="0" xfId="3" applyNumberFormat="1" applyFont="1" applyAlignment="1">
      <alignment horizontal="left" vertical="center"/>
    </xf>
    <xf numFmtId="4" fontId="69" fillId="0" borderId="0" xfId="0" applyNumberFormat="1" applyFont="1" applyAlignment="1">
      <alignment horizontal="left" vertical="center"/>
    </xf>
    <xf numFmtId="0" fontId="95" fillId="0" borderId="0" xfId="3" applyNumberFormat="1" applyFont="1" applyAlignment="1">
      <alignment vertical="center" wrapText="1"/>
    </xf>
    <xf numFmtId="39" fontId="69" fillId="0" borderId="0" xfId="3" applyFont="1"/>
    <xf numFmtId="0" fontId="6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6" fillId="0" borderId="0" xfId="3" applyNumberFormat="1" applyFont="1" applyAlignment="1">
      <alignment vertical="center"/>
    </xf>
    <xf numFmtId="37" fontId="96" fillId="0" borderId="0" xfId="3" applyNumberFormat="1" applyFont="1" applyAlignment="1">
      <alignment horizontal="left" vertical="center"/>
    </xf>
    <xf numFmtId="0" fontId="95" fillId="0" borderId="0" xfId="3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0" fontId="98" fillId="0" borderId="0" xfId="3" applyNumberFormat="1" applyFont="1" applyAlignment="1">
      <alignment horizontal="center"/>
    </xf>
    <xf numFmtId="37" fontId="96" fillId="0" borderId="0" xfId="3" applyNumberFormat="1" applyFont="1" applyAlignment="1">
      <alignment horizontal="left"/>
    </xf>
    <xf numFmtId="39" fontId="96" fillId="0" borderId="0" xfId="3" applyFont="1" applyAlignment="1">
      <alignment horizontal="left"/>
    </xf>
    <xf numFmtId="167" fontId="96" fillId="0" borderId="0" xfId="1" applyFont="1" applyFill="1" applyBorder="1" applyAlignment="1" applyProtection="1">
      <alignment horizontal="left"/>
    </xf>
    <xf numFmtId="39" fontId="6" fillId="0" borderId="0" xfId="3" applyFont="1"/>
    <xf numFmtId="39" fontId="99" fillId="0" borderId="0" xfId="3" applyFont="1"/>
    <xf numFmtId="39" fontId="98" fillId="0" borderId="0" xfId="3" applyFont="1"/>
    <xf numFmtId="0" fontId="98" fillId="3" borderId="0" xfId="3" applyNumberFormat="1" applyFont="1" applyFill="1" applyAlignment="1">
      <alignment horizontal="center"/>
    </xf>
    <xf numFmtId="39" fontId="6" fillId="3" borderId="0" xfId="3" applyFont="1" applyFill="1"/>
    <xf numFmtId="39" fontId="99" fillId="3" borderId="0" xfId="3" applyFont="1" applyFill="1"/>
    <xf numFmtId="39" fontId="66" fillId="3" borderId="0" xfId="3" applyFont="1" applyFill="1" applyAlignment="1">
      <alignment horizontal="center"/>
    </xf>
    <xf numFmtId="37" fontId="69" fillId="3" borderId="0" xfId="3" applyNumberFormat="1" applyFont="1" applyFill="1" applyAlignment="1">
      <alignment horizontal="center"/>
    </xf>
    <xf numFmtId="39" fontId="98" fillId="3" borderId="0" xfId="3" applyFont="1" applyFill="1"/>
    <xf numFmtId="39" fontId="66" fillId="3" borderId="0" xfId="3" applyFont="1" applyFill="1"/>
    <xf numFmtId="37" fontId="69" fillId="3" borderId="0" xfId="3" applyNumberFormat="1" applyFont="1" applyFill="1"/>
    <xf numFmtId="37" fontId="100" fillId="0" borderId="44" xfId="3" quotePrefix="1" applyNumberFormat="1" applyFont="1" applyBorder="1" applyAlignment="1">
      <alignment horizontal="center"/>
    </xf>
    <xf numFmtId="37" fontId="100" fillId="0" borderId="45" xfId="3" quotePrefix="1" applyNumberFormat="1" applyFont="1" applyBorder="1" applyAlignment="1">
      <alignment horizontal="center"/>
    </xf>
    <xf numFmtId="4" fontId="98" fillId="0" borderId="0" xfId="0" applyNumberFormat="1" applyFont="1" applyAlignment="1">
      <alignment vertical="center"/>
    </xf>
    <xf numFmtId="0" fontId="63" fillId="0" borderId="0" xfId="0" applyFont="1" applyAlignment="1">
      <alignment horizontal="left" vertical="center"/>
    </xf>
    <xf numFmtId="39" fontId="97" fillId="0" borderId="0" xfId="3" applyFont="1" applyAlignment="1">
      <alignment horizontal="center"/>
    </xf>
    <xf numFmtId="39" fontId="97" fillId="0" borderId="0" xfId="3" applyFont="1"/>
    <xf numFmtId="37" fontId="101" fillId="0" borderId="0" xfId="3" applyNumberFormat="1" applyFont="1"/>
    <xf numFmtId="39" fontId="96" fillId="0" borderId="46" xfId="3" applyFont="1" applyBorder="1" applyAlignment="1">
      <alignment horizontal="center"/>
    </xf>
    <xf numFmtId="39" fontId="96" fillId="0" borderId="20" xfId="3" applyFont="1" applyBorder="1" applyAlignment="1">
      <alignment horizontal="left"/>
    </xf>
    <xf numFmtId="39" fontId="96" fillId="0" borderId="10" xfId="3" applyFont="1" applyBorder="1" applyAlignment="1">
      <alignment horizontal="center"/>
    </xf>
    <xf numFmtId="39" fontId="96" fillId="0" borderId="10" xfId="3" applyFont="1" applyBorder="1"/>
    <xf numFmtId="169" fontId="7" fillId="0" borderId="47" xfId="1" applyNumberFormat="1" applyFont="1" applyFill="1" applyBorder="1" applyAlignment="1" applyProtection="1">
      <alignment horizontal="left"/>
    </xf>
    <xf numFmtId="169" fontId="98" fillId="0" borderId="0" xfId="0" applyNumberFormat="1" applyFont="1" applyAlignment="1">
      <alignment vertical="center"/>
    </xf>
    <xf numFmtId="39" fontId="101" fillId="0" borderId="92" xfId="3" applyFont="1" applyBorder="1" applyAlignment="1">
      <alignment horizontal="center" vertical="center"/>
    </xf>
    <xf numFmtId="166" fontId="101" fillId="0" borderId="21" xfId="2" applyFont="1" applyFill="1" applyBorder="1" applyAlignment="1" applyProtection="1">
      <alignment horizontal="left" vertical="center"/>
    </xf>
    <xf numFmtId="39" fontId="101" fillId="0" borderId="7" xfId="3" applyFont="1" applyBorder="1" applyAlignment="1">
      <alignment horizontal="left" vertical="center"/>
    </xf>
    <xf numFmtId="39" fontId="101" fillId="0" borderId="7" xfId="3" applyFont="1" applyBorder="1" applyAlignment="1">
      <alignment vertical="center"/>
    </xf>
    <xf numFmtId="169" fontId="98" fillId="0" borderId="48" xfId="1" applyNumberFormat="1" applyFont="1" applyFill="1" applyBorder="1" applyAlignment="1" applyProtection="1">
      <alignment horizontal="left" vertical="center"/>
    </xf>
    <xf numFmtId="39" fontId="99" fillId="0" borderId="0" xfId="3" applyFont="1" applyAlignment="1">
      <alignment vertical="center"/>
    </xf>
    <xf numFmtId="0" fontId="102" fillId="0" borderId="0" xfId="3" applyNumberFormat="1" applyFont="1" applyAlignment="1">
      <alignment horizontal="center"/>
    </xf>
    <xf numFmtId="39" fontId="98" fillId="0" borderId="92" xfId="3" applyFont="1" applyBorder="1" applyAlignment="1">
      <alignment horizontal="center" vertical="center"/>
    </xf>
    <xf numFmtId="166" fontId="98" fillId="0" borderId="21" xfId="2" applyFont="1" applyFill="1" applyBorder="1" applyAlignment="1" applyProtection="1">
      <alignment horizontal="left" vertical="center"/>
    </xf>
    <xf numFmtId="39" fontId="98" fillId="0" borderId="7" xfId="3" applyFont="1" applyBorder="1" applyAlignment="1">
      <alignment horizontal="left" vertical="center"/>
    </xf>
    <xf numFmtId="39" fontId="98" fillId="0" borderId="7" xfId="3" applyFont="1" applyBorder="1" applyAlignment="1">
      <alignment vertical="center"/>
    </xf>
    <xf numFmtId="39" fontId="103" fillId="0" borderId="0" xfId="3" applyFont="1"/>
    <xf numFmtId="39" fontId="103" fillId="0" borderId="0" xfId="3" applyFont="1" applyAlignment="1">
      <alignment vertical="center"/>
    </xf>
    <xf numFmtId="39" fontId="104" fillId="0" borderId="0" xfId="3" applyFont="1" applyAlignment="1">
      <alignment horizontal="center"/>
    </xf>
    <xf numFmtId="39" fontId="104" fillId="0" borderId="0" xfId="3" applyFont="1"/>
    <xf numFmtId="37" fontId="102" fillId="0" borderId="0" xfId="3" applyNumberFormat="1" applyFont="1"/>
    <xf numFmtId="39" fontId="102" fillId="0" borderId="0" xfId="3" applyFont="1"/>
    <xf numFmtId="39" fontId="98" fillId="0" borderId="131" xfId="3" applyFont="1" applyBorder="1" applyAlignment="1">
      <alignment horizontal="center" vertical="center"/>
    </xf>
    <xf numFmtId="166" fontId="98" fillId="0" borderId="129" xfId="2" applyFont="1" applyFill="1" applyBorder="1" applyAlignment="1" applyProtection="1">
      <alignment horizontal="left" vertical="center"/>
    </xf>
    <xf numFmtId="39" fontId="98" fillId="0" borderId="132" xfId="3" applyFont="1" applyBorder="1" applyAlignment="1">
      <alignment horizontal="left" vertical="center"/>
    </xf>
    <xf numFmtId="39" fontId="98" fillId="0" borderId="132" xfId="3" applyFont="1" applyBorder="1" applyAlignment="1">
      <alignment vertical="center"/>
    </xf>
    <xf numFmtId="169" fontId="98" fillId="0" borderId="130" xfId="1" applyNumberFormat="1" applyFont="1" applyFill="1" applyBorder="1" applyAlignment="1" applyProtection="1">
      <alignment horizontal="left" vertical="center"/>
    </xf>
    <xf numFmtId="39" fontId="98" fillId="0" borderId="13" xfId="3" applyFont="1" applyBorder="1" applyAlignment="1">
      <alignment horizontal="left" vertical="center"/>
    </xf>
    <xf numFmtId="39" fontId="98" fillId="0" borderId="13" xfId="3" applyFont="1" applyBorder="1" applyAlignment="1">
      <alignment vertical="center"/>
    </xf>
    <xf numFmtId="39" fontId="105" fillId="0" borderId="0" xfId="3" applyFont="1"/>
    <xf numFmtId="39" fontId="7" fillId="0" borderId="61" xfId="3" applyBorder="1" applyAlignment="1">
      <alignment horizontal="center" vertical="center"/>
    </xf>
    <xf numFmtId="39" fontId="7" fillId="0" borderId="62" xfId="3" applyBorder="1" applyAlignment="1">
      <alignment horizontal="left" vertical="center"/>
    </xf>
    <xf numFmtId="39" fontId="7" fillId="0" borderId="65" xfId="3" applyBorder="1" applyAlignment="1">
      <alignment horizontal="left" vertical="center"/>
    </xf>
    <xf numFmtId="169" fontId="7" fillId="0" borderId="63" xfId="1" applyNumberFormat="1" applyFont="1" applyFill="1" applyBorder="1" applyAlignment="1" applyProtection="1">
      <alignment horizontal="left" vertical="center"/>
    </xf>
    <xf numFmtId="39" fontId="66" fillId="0" borderId="0" xfId="3" applyFont="1" applyAlignment="1">
      <alignment horizontal="right"/>
    </xf>
    <xf numFmtId="0" fontId="66" fillId="0" borderId="0" xfId="3" applyNumberFormat="1" applyFont="1"/>
    <xf numFmtId="37" fontId="98" fillId="0" borderId="0" xfId="3" applyNumberFormat="1" applyFont="1"/>
    <xf numFmtId="39" fontId="106" fillId="0" borderId="50" xfId="3" applyFont="1" applyBorder="1" applyAlignment="1">
      <alignment horizontal="right" vertical="center"/>
    </xf>
    <xf numFmtId="167" fontId="106" fillId="0" borderId="10" xfId="1" applyFont="1" applyFill="1" applyBorder="1" applyAlignment="1" applyProtection="1">
      <alignment vertical="center"/>
    </xf>
    <xf numFmtId="39" fontId="106" fillId="0" borderId="10" xfId="3" applyFont="1" applyBorder="1" applyAlignment="1">
      <alignment horizontal="right" vertical="center"/>
    </xf>
    <xf numFmtId="166" fontId="106" fillId="0" borderId="10" xfId="2" applyFont="1" applyFill="1" applyBorder="1" applyAlignment="1" applyProtection="1">
      <alignment horizontal="right" vertical="center"/>
    </xf>
    <xf numFmtId="166" fontId="69" fillId="0" borderId="67" xfId="7" applyFont="1" applyFill="1" applyBorder="1" applyAlignment="1" applyProtection="1">
      <alignment horizontal="right" vertical="center"/>
    </xf>
    <xf numFmtId="169" fontId="69" fillId="0" borderId="31" xfId="8" applyNumberFormat="1" applyFont="1" applyFill="1" applyBorder="1" applyAlignment="1" applyProtection="1">
      <alignment horizontal="left" vertical="center"/>
    </xf>
    <xf numFmtId="169" fontId="69" fillId="0" borderId="0" xfId="1" applyNumberFormat="1" applyFont="1" applyFill="1" applyBorder="1" applyAlignment="1" applyProtection="1">
      <alignment horizontal="left" vertical="center"/>
    </xf>
    <xf numFmtId="39" fontId="69" fillId="0" borderId="0" xfId="3" applyFont="1" applyAlignment="1">
      <alignment horizontal="right"/>
    </xf>
    <xf numFmtId="39" fontId="69" fillId="0" borderId="0" xfId="3" applyFont="1" applyAlignment="1">
      <alignment horizontal="left"/>
    </xf>
    <xf numFmtId="167" fontId="69" fillId="0" borderId="0" xfId="1" applyFont="1" applyFill="1" applyBorder="1" applyAlignment="1" applyProtection="1">
      <alignment horizontal="right"/>
    </xf>
    <xf numFmtId="167" fontId="69" fillId="0" borderId="0" xfId="1" applyFont="1" applyFill="1" applyBorder="1" applyAlignment="1" applyProtection="1">
      <alignment horizontal="center"/>
    </xf>
    <xf numFmtId="39" fontId="106" fillId="0" borderId="92" xfId="3" applyFont="1" applyBorder="1" applyAlignment="1">
      <alignment horizontal="right" vertical="center"/>
    </xf>
    <xf numFmtId="167" fontId="106" fillId="0" borderId="7" xfId="1" applyFont="1" applyFill="1" applyBorder="1" applyAlignment="1" applyProtection="1">
      <alignment vertical="center"/>
    </xf>
    <xf numFmtId="39" fontId="106" fillId="0" borderId="7" xfId="3" applyFont="1" applyBorder="1" applyAlignment="1">
      <alignment horizontal="right" vertical="center"/>
    </xf>
    <xf numFmtId="166" fontId="106" fillId="0" borderId="7" xfId="2" applyFont="1" applyFill="1" applyBorder="1" applyAlignment="1" applyProtection="1">
      <alignment horizontal="right" vertical="center"/>
    </xf>
    <xf numFmtId="166" fontId="69" fillId="0" borderId="66" xfId="7" applyFont="1" applyFill="1" applyBorder="1" applyAlignment="1" applyProtection="1">
      <alignment horizontal="right" vertical="center"/>
    </xf>
    <xf numFmtId="169" fontId="69" fillId="0" borderId="59" xfId="8" applyNumberFormat="1" applyFont="1" applyFill="1" applyBorder="1" applyAlignment="1" applyProtection="1">
      <alignment horizontal="left" vertical="center"/>
    </xf>
    <xf numFmtId="167" fontId="69" fillId="0" borderId="0" xfId="1" applyFont="1" applyFill="1" applyBorder="1" applyAlignment="1" applyProtection="1">
      <alignment horizontal="left"/>
    </xf>
    <xf numFmtId="166" fontId="69" fillId="0" borderId="0" xfId="7" applyFont="1" applyFill="1" applyBorder="1" applyAlignment="1" applyProtection="1">
      <alignment horizontal="right" vertical="center"/>
    </xf>
    <xf numFmtId="169" fontId="69" fillId="0" borderId="128" xfId="8" applyNumberFormat="1" applyFont="1" applyFill="1" applyBorder="1" applyAlignment="1" applyProtection="1">
      <alignment horizontal="left" vertical="center"/>
    </xf>
    <xf numFmtId="39" fontId="106" fillId="0" borderId="64" xfId="3" applyFont="1" applyBorder="1" applyAlignment="1">
      <alignment horizontal="right" vertical="center"/>
    </xf>
    <xf numFmtId="167" fontId="106" fillId="0" borderId="65" xfId="1" applyFont="1" applyFill="1" applyBorder="1" applyAlignment="1" applyProtection="1">
      <alignment vertical="center"/>
    </xf>
    <xf numFmtId="39" fontId="106" fillId="0" borderId="65" xfId="3" applyFont="1" applyBorder="1" applyAlignment="1">
      <alignment horizontal="right" vertical="center"/>
    </xf>
    <xf numFmtId="166" fontId="106" fillId="0" borderId="65" xfId="2" applyFont="1" applyFill="1" applyBorder="1" applyAlignment="1" applyProtection="1">
      <alignment horizontal="right" vertical="center"/>
    </xf>
    <xf numFmtId="166" fontId="69" fillId="0" borderId="33" xfId="7" applyFont="1" applyFill="1" applyBorder="1" applyAlignment="1" applyProtection="1">
      <alignment horizontal="right" vertical="center"/>
    </xf>
    <xf numFmtId="169" fontId="69" fillId="0" borderId="34" xfId="8" applyNumberFormat="1" applyFont="1" applyFill="1" applyBorder="1" applyAlignment="1" applyProtection="1">
      <alignment horizontal="left" vertical="center"/>
    </xf>
    <xf numFmtId="166" fontId="107" fillId="0" borderId="69" xfId="2" applyFont="1" applyFill="1" applyBorder="1" applyAlignment="1" applyProtection="1">
      <alignment vertical="center"/>
    </xf>
    <xf numFmtId="39" fontId="106" fillId="0" borderId="70" xfId="3" applyFont="1" applyBorder="1" applyAlignment="1">
      <alignment vertical="center"/>
    </xf>
    <xf numFmtId="39" fontId="106" fillId="0" borderId="71" xfId="3" applyFont="1" applyBorder="1" applyAlignment="1">
      <alignment vertical="center"/>
    </xf>
    <xf numFmtId="39" fontId="69" fillId="3" borderId="0" xfId="3" applyFont="1" applyFill="1" applyAlignment="1">
      <alignment horizontal="right"/>
    </xf>
    <xf numFmtId="39" fontId="69" fillId="3" borderId="0" xfId="3" applyFont="1" applyFill="1" applyAlignment="1">
      <alignment horizontal="left"/>
    </xf>
    <xf numFmtId="167" fontId="69" fillId="3" borderId="0" xfId="1" applyFont="1" applyFill="1" applyBorder="1" applyAlignment="1" applyProtection="1">
      <alignment horizontal="right"/>
    </xf>
    <xf numFmtId="167" fontId="69" fillId="3" borderId="0" xfId="1" applyFont="1" applyFill="1" applyBorder="1" applyAlignment="1" applyProtection="1">
      <alignment horizontal="left"/>
    </xf>
    <xf numFmtId="167" fontId="98" fillId="0" borderId="0" xfId="1" applyFont="1" applyFill="1" applyProtection="1"/>
    <xf numFmtId="168" fontId="98" fillId="0" borderId="0" xfId="0" applyNumberFormat="1" applyFont="1" applyAlignment="1">
      <alignment horizontal="center" vertical="center"/>
    </xf>
    <xf numFmtId="39" fontId="98" fillId="0" borderId="0" xfId="3" applyFont="1" applyAlignment="1">
      <alignment horizontal="left"/>
    </xf>
    <xf numFmtId="0" fontId="98" fillId="0" borderId="0" xfId="0" applyFont="1" applyAlignment="1">
      <alignment horizontal="center" vertical="center"/>
    </xf>
    <xf numFmtId="168" fontId="98" fillId="0" borderId="0" xfId="0" applyNumberFormat="1" applyFont="1" applyAlignment="1">
      <alignment horizontal="left" vertical="center"/>
    </xf>
    <xf numFmtId="168" fontId="98" fillId="0" borderId="0" xfId="0" applyNumberFormat="1" applyFont="1" applyAlignment="1">
      <alignment vertical="center"/>
    </xf>
    <xf numFmtId="0" fontId="69" fillId="0" borderId="0" xfId="0" applyFont="1" applyAlignment="1">
      <alignment horizontal="center" vertical="center"/>
    </xf>
    <xf numFmtId="39" fontId="102" fillId="0" borderId="0" xfId="3" applyFont="1" applyAlignment="1">
      <alignment horizontal="left"/>
    </xf>
    <xf numFmtId="167" fontId="98" fillId="0" borderId="0" xfId="0" applyNumberFormat="1" applyFont="1" applyAlignment="1">
      <alignment horizontal="left" vertical="center"/>
    </xf>
    <xf numFmtId="4" fontId="98" fillId="0" borderId="0" xfId="0" applyNumberFormat="1" applyFont="1" applyAlignment="1">
      <alignment horizontal="left" vertical="center"/>
    </xf>
    <xf numFmtId="167" fontId="98" fillId="0" borderId="0" xfId="0" applyNumberFormat="1" applyFont="1" applyAlignment="1">
      <alignment vertical="center"/>
    </xf>
    <xf numFmtId="167" fontId="98" fillId="0" borderId="0" xfId="0" applyNumberFormat="1" applyFont="1" applyAlignment="1">
      <alignment horizontal="center" vertical="center"/>
    </xf>
    <xf numFmtId="0" fontId="98" fillId="0" borderId="0" xfId="0" applyFont="1" applyAlignment="1">
      <alignment horizontal="left" vertical="center"/>
    </xf>
    <xf numFmtId="167" fontId="69" fillId="0" borderId="0" xfId="1" applyFont="1" applyBorder="1" applyAlignment="1" applyProtection="1">
      <alignment horizontal="left"/>
    </xf>
    <xf numFmtId="0" fontId="108" fillId="0" borderId="0" xfId="0" applyFont="1" applyAlignment="1">
      <alignment horizontal="center" vertical="center"/>
    </xf>
    <xf numFmtId="167" fontId="98" fillId="0" borderId="0" xfId="1" applyFont="1" applyBorder="1" applyProtection="1"/>
    <xf numFmtId="39" fontId="98" fillId="0" borderId="0" xfId="3" applyFont="1" applyAlignment="1">
      <alignment horizontal="center"/>
    </xf>
    <xf numFmtId="0" fontId="102" fillId="0" borderId="0" xfId="0" applyFont="1" applyAlignment="1">
      <alignment horizontal="center" vertical="center"/>
    </xf>
    <xf numFmtId="39" fontId="109" fillId="0" borderId="0" xfId="3" applyFont="1" applyAlignment="1">
      <alignment vertical="center" wrapText="1"/>
    </xf>
    <xf numFmtId="0" fontId="109" fillId="0" borderId="0" xfId="0" applyFont="1" applyAlignment="1">
      <alignment horizontal="center" vertical="center"/>
    </xf>
    <xf numFmtId="39" fontId="102" fillId="0" borderId="0" xfId="3" applyFont="1" applyAlignment="1">
      <alignment horizontal="center"/>
    </xf>
    <xf numFmtId="0" fontId="110" fillId="0" borderId="0" xfId="0" applyFont="1" applyAlignment="1">
      <alignment horizontal="center" vertical="center"/>
    </xf>
    <xf numFmtId="166" fontId="69" fillId="0" borderId="101" xfId="2" applyFont="1" applyFill="1" applyBorder="1" applyAlignment="1">
      <alignment horizontal="center" vertical="center"/>
    </xf>
    <xf numFmtId="166" fontId="69" fillId="0" borderId="102" xfId="2" applyFont="1" applyFill="1" applyBorder="1" applyAlignment="1">
      <alignment horizontal="center" vertical="center"/>
    </xf>
    <xf numFmtId="174" fontId="69" fillId="0" borderId="103" xfId="9" applyNumberFormat="1" applyFont="1" applyBorder="1" applyAlignment="1">
      <alignment horizontal="center" vertical="center"/>
    </xf>
    <xf numFmtId="0" fontId="69" fillId="0" borderId="0" xfId="9" applyFont="1" applyAlignment="1">
      <alignment horizontal="center" vertical="center"/>
    </xf>
    <xf numFmtId="166" fontId="69" fillId="0" borderId="94" xfId="2" applyFont="1" applyFill="1" applyBorder="1" applyAlignment="1">
      <alignment horizontal="center" vertical="center"/>
    </xf>
    <xf numFmtId="166" fontId="69" fillId="0" borderId="15" xfId="2" applyFont="1" applyFill="1" applyBorder="1" applyAlignment="1">
      <alignment horizontal="center" vertical="center"/>
    </xf>
    <xf numFmtId="174" fontId="69" fillId="0" borderId="95" xfId="9" applyNumberFormat="1" applyFont="1" applyBorder="1" applyAlignment="1">
      <alignment horizontal="center" vertical="center"/>
    </xf>
    <xf numFmtId="0" fontId="108" fillId="0" borderId="72" xfId="52" applyFont="1" applyBorder="1" applyAlignment="1">
      <alignment horizontal="left" vertical="center"/>
    </xf>
    <xf numFmtId="166" fontId="98" fillId="0" borderId="94" xfId="2" applyFont="1" applyFill="1" applyBorder="1" applyAlignment="1">
      <alignment horizontal="center" vertical="center"/>
    </xf>
    <xf numFmtId="166" fontId="98" fillId="0" borderId="15" xfId="2" applyFont="1" applyFill="1" applyBorder="1" applyAlignment="1">
      <alignment vertical="center"/>
    </xf>
    <xf numFmtId="174" fontId="98" fillId="0" borderId="95" xfId="2" applyNumberFormat="1" applyFont="1" applyFill="1" applyBorder="1" applyAlignment="1">
      <alignment vertical="center"/>
    </xf>
    <xf numFmtId="166" fontId="98" fillId="0" borderId="0" xfId="2" applyFont="1" applyAlignment="1">
      <alignment horizontal="left" vertical="center"/>
    </xf>
    <xf numFmtId="0" fontId="98" fillId="0" borderId="0" xfId="0" applyFont="1" applyAlignment="1">
      <alignment vertical="center"/>
    </xf>
    <xf numFmtId="166" fontId="98" fillId="0" borderId="72" xfId="2" applyFont="1" applyFill="1" applyBorder="1" applyAlignment="1">
      <alignment horizontal="center" vertical="center"/>
    </xf>
    <xf numFmtId="0" fontId="69" fillId="0" borderId="0" xfId="52" applyFont="1" applyAlignment="1">
      <alignment horizontal="left" vertical="center"/>
    </xf>
    <xf numFmtId="0" fontId="111" fillId="0" borderId="0" xfId="52" applyFont="1" applyAlignment="1">
      <alignment horizontal="left" vertical="center"/>
    </xf>
    <xf numFmtId="166" fontId="98" fillId="0" borderId="96" xfId="2" applyFont="1" applyFill="1" applyBorder="1" applyAlignment="1">
      <alignment horizontal="center" vertical="center"/>
    </xf>
    <xf numFmtId="0" fontId="112" fillId="0" borderId="66" xfId="0" applyFont="1" applyBorder="1" applyAlignment="1">
      <alignment vertical="center"/>
    </xf>
    <xf numFmtId="0" fontId="98" fillId="0" borderId="132" xfId="0" applyFont="1" applyBorder="1" applyAlignment="1">
      <alignment horizontal="left" vertical="center"/>
    </xf>
    <xf numFmtId="166" fontId="98" fillId="0" borderId="144" xfId="2" applyFont="1" applyFill="1" applyBorder="1" applyAlignment="1">
      <alignment horizontal="center" vertical="center"/>
    </xf>
    <xf numFmtId="166" fontId="98" fillId="0" borderId="145" xfId="2" applyFont="1" applyFill="1" applyBorder="1" applyAlignment="1">
      <alignment vertical="center"/>
    </xf>
    <xf numFmtId="174" fontId="98" fillId="0" borderId="146" xfId="2" applyNumberFormat="1" applyFont="1" applyFill="1" applyBorder="1" applyAlignment="1">
      <alignment vertical="center"/>
    </xf>
    <xf numFmtId="0" fontId="7" fillId="0" borderId="0" xfId="52" applyFont="1" applyAlignment="1">
      <alignment horizontal="right"/>
    </xf>
    <xf numFmtId="0" fontId="7" fillId="0" borderId="0" xfId="52" applyFont="1"/>
    <xf numFmtId="0" fontId="98" fillId="0" borderId="0" xfId="52" applyFont="1" applyAlignment="1">
      <alignment horizontal="right"/>
    </xf>
    <xf numFmtId="0" fontId="98" fillId="0" borderId="0" xfId="52" applyFont="1"/>
    <xf numFmtId="0" fontId="98" fillId="0" borderId="98" xfId="52" applyFont="1" applyBorder="1" applyAlignment="1">
      <alignment horizontal="center"/>
    </xf>
    <xf numFmtId="0" fontId="98" fillId="0" borderId="126" xfId="52" applyFont="1" applyBorder="1" applyAlignment="1">
      <alignment horizontal="center"/>
    </xf>
    <xf numFmtId="0" fontId="98" fillId="0" borderId="127" xfId="52" applyFont="1" applyBorder="1" applyAlignment="1">
      <alignment vertical="center"/>
    </xf>
    <xf numFmtId="169" fontId="98" fillId="0" borderId="99" xfId="52" applyNumberFormat="1" applyFont="1" applyBorder="1" applyAlignment="1">
      <alignment horizontal="center" vertical="center"/>
    </xf>
    <xf numFmtId="169" fontId="98" fillId="0" borderId="100" xfId="52" applyNumberFormat="1" applyFont="1" applyBorder="1" applyAlignment="1">
      <alignment horizontal="center" vertical="center"/>
    </xf>
    <xf numFmtId="4" fontId="84" fillId="0" borderId="9" xfId="0" applyNumberFormat="1" applyFont="1" applyBorder="1" applyAlignment="1">
      <alignment horizontal="right" vertical="center"/>
    </xf>
    <xf numFmtId="4" fontId="84" fillId="0" borderId="140" xfId="0" applyNumberFormat="1" applyFont="1" applyBorder="1" applyAlignment="1">
      <alignment horizontal="right" vertical="center"/>
    </xf>
    <xf numFmtId="169" fontId="84" fillId="0" borderId="140" xfId="0" applyNumberFormat="1" applyFont="1" applyBorder="1" applyAlignment="1">
      <alignment horizontal="right" vertical="center"/>
    </xf>
    <xf numFmtId="4" fontId="7" fillId="0" borderId="140" xfId="0" applyNumberFormat="1" applyFont="1" applyBorder="1" applyAlignment="1">
      <alignment horizontal="right" vertical="center"/>
    </xf>
    <xf numFmtId="169" fontId="7" fillId="0" borderId="140" xfId="0" applyNumberFormat="1" applyFont="1" applyBorder="1" applyAlignment="1">
      <alignment horizontal="right" vertical="center"/>
    </xf>
    <xf numFmtId="169" fontId="84" fillId="0" borderId="147" xfId="0" applyNumberFormat="1" applyFont="1" applyBorder="1" applyAlignment="1">
      <alignment horizontal="right" vertical="center"/>
    </xf>
    <xf numFmtId="4" fontId="85" fillId="0" borderId="149" xfId="0" quotePrefix="1" applyNumberFormat="1" applyFont="1" applyBorder="1" applyAlignment="1">
      <alignment horizontal="center" vertical="center"/>
    </xf>
    <xf numFmtId="4" fontId="84" fillId="0" borderId="150" xfId="0" applyNumberFormat="1" applyFont="1" applyBorder="1" applyAlignment="1">
      <alignment horizontal="right" vertical="center"/>
    </xf>
    <xf numFmtId="4" fontId="84" fillId="0" borderId="151" xfId="0" applyNumberFormat="1" applyFont="1" applyBorder="1" applyAlignment="1">
      <alignment horizontal="right" vertical="center"/>
    </xf>
    <xf numFmtId="169" fontId="84" fillId="0" borderId="151" xfId="0" applyNumberFormat="1" applyFont="1" applyBorder="1" applyAlignment="1">
      <alignment horizontal="right" vertical="center"/>
    </xf>
    <xf numFmtId="4" fontId="7" fillId="0" borderId="151" xfId="0" applyNumberFormat="1" applyFont="1" applyBorder="1" applyAlignment="1">
      <alignment horizontal="right" vertical="center"/>
    </xf>
    <xf numFmtId="169" fontId="7" fillId="0" borderId="151" xfId="0" applyNumberFormat="1" applyFont="1" applyBorder="1" applyAlignment="1">
      <alignment horizontal="right" vertical="center"/>
    </xf>
    <xf numFmtId="169" fontId="84" fillId="0" borderId="153" xfId="0" applyNumberFormat="1" applyFont="1" applyBorder="1" applyAlignment="1">
      <alignment horizontal="right" vertical="center"/>
    </xf>
    <xf numFmtId="169" fontId="82" fillId="0" borderId="149" xfId="0" applyNumberFormat="1" applyFont="1" applyBorder="1" applyAlignment="1">
      <alignment horizontal="right" vertical="center"/>
    </xf>
    <xf numFmtId="169" fontId="82" fillId="0" borderId="58" xfId="0" applyNumberFormat="1" applyFont="1" applyBorder="1" applyAlignment="1">
      <alignment horizontal="right" vertical="center"/>
    </xf>
    <xf numFmtId="4" fontId="85" fillId="0" borderId="16" xfId="0" quotePrefix="1" applyNumberFormat="1" applyFont="1" applyBorder="1" applyAlignment="1">
      <alignment horizontal="center" vertical="center"/>
    </xf>
    <xf numFmtId="4" fontId="84" fillId="0" borderId="10" xfId="0" applyNumberFormat="1" applyFont="1" applyBorder="1" applyAlignment="1">
      <alignment horizontal="right" vertical="center"/>
    </xf>
    <xf numFmtId="169" fontId="82" fillId="0" borderId="16" xfId="0" applyNumberFormat="1" applyFont="1" applyBorder="1" applyAlignment="1">
      <alignment horizontal="right" vertical="center"/>
    </xf>
    <xf numFmtId="0" fontId="82" fillId="0" borderId="154" xfId="0" applyFont="1" applyBorder="1" applyAlignment="1">
      <alignment horizontal="center" vertical="center"/>
    </xf>
    <xf numFmtId="0" fontId="82" fillId="0" borderId="68" xfId="0" applyFont="1" applyBorder="1" applyAlignment="1">
      <alignment horizontal="center" vertical="center"/>
    </xf>
    <xf numFmtId="0" fontId="82" fillId="0" borderId="68" xfId="0" applyFont="1" applyBorder="1" applyAlignment="1">
      <alignment horizontal="left" vertical="center"/>
    </xf>
    <xf numFmtId="0" fontId="82" fillId="0" borderId="148" xfId="0" applyFont="1" applyBorder="1" applyAlignment="1">
      <alignment horizontal="center" vertical="center"/>
    </xf>
    <xf numFmtId="0" fontId="82" fillId="0" borderId="141" xfId="0" applyFont="1" applyBorder="1" applyAlignment="1">
      <alignment horizontal="left" vertical="center"/>
    </xf>
    <xf numFmtId="0" fontId="84" fillId="0" borderId="153" xfId="0" applyFont="1" applyBorder="1" applyAlignment="1">
      <alignment vertical="center"/>
    </xf>
    <xf numFmtId="0" fontId="82" fillId="0" borderId="141" xfId="0" applyFont="1" applyBorder="1" applyAlignment="1">
      <alignment vertical="center"/>
    </xf>
    <xf numFmtId="0" fontId="84" fillId="0" borderId="155" xfId="0" applyFont="1" applyBorder="1" applyAlignment="1">
      <alignment vertical="center"/>
    </xf>
    <xf numFmtId="0" fontId="84" fillId="0" borderId="156" xfId="0" applyFont="1" applyBorder="1" applyAlignment="1">
      <alignment vertical="center"/>
    </xf>
    <xf numFmtId="166" fontId="84" fillId="0" borderId="156" xfId="2" applyFont="1" applyFill="1" applyBorder="1" applyAlignment="1">
      <alignment vertical="center"/>
    </xf>
    <xf numFmtId="4" fontId="84" fillId="0" borderId="156" xfId="0" applyNumberFormat="1" applyFont="1" applyBorder="1" applyAlignment="1">
      <alignment horizontal="right" vertical="center"/>
    </xf>
    <xf numFmtId="170" fontId="84" fillId="0" borderId="156" xfId="2" applyNumberFormat="1" applyFont="1" applyFill="1" applyBorder="1" applyAlignment="1">
      <alignment horizontal="center" vertical="center"/>
    </xf>
    <xf numFmtId="4" fontId="84" fillId="0" borderId="156" xfId="0" applyNumberFormat="1" applyFont="1" applyBorder="1" applyAlignment="1">
      <alignment vertical="center"/>
    </xf>
    <xf numFmtId="4" fontId="84" fillId="0" borderId="156" xfId="0" applyNumberFormat="1" applyFont="1" applyBorder="1" applyAlignment="1">
      <alignment horizontal="center" vertical="center"/>
    </xf>
    <xf numFmtId="4" fontId="84" fillId="0" borderId="156" xfId="0" applyNumberFormat="1" applyFont="1" applyBorder="1" applyAlignment="1">
      <alignment horizontal="left" vertical="center"/>
    </xf>
    <xf numFmtId="4" fontId="84" fillId="0" borderId="157" xfId="0" applyNumberFormat="1" applyFont="1" applyBorder="1" applyAlignment="1">
      <alignment vertical="center"/>
    </xf>
    <xf numFmtId="4" fontId="87" fillId="11" borderId="49" xfId="0" applyNumberFormat="1" applyFont="1" applyFill="1" applyBorder="1" applyAlignment="1">
      <alignment horizontal="centerContinuous" vertical="center"/>
    </xf>
    <xf numFmtId="4" fontId="87" fillId="11" borderId="18" xfId="0" applyNumberFormat="1" applyFont="1" applyFill="1" applyBorder="1" applyAlignment="1">
      <alignment horizontal="centerContinuous" vertical="center"/>
    </xf>
    <xf numFmtId="4" fontId="87" fillId="11" borderId="18" xfId="0" applyNumberFormat="1" applyFont="1" applyFill="1" applyBorder="1" applyAlignment="1">
      <alignment horizontal="center" vertical="center"/>
    </xf>
    <xf numFmtId="169" fontId="82" fillId="11" borderId="136" xfId="0" applyNumberFormat="1" applyFont="1" applyFill="1" applyBorder="1" applyAlignment="1">
      <alignment horizontal="right" vertical="center"/>
    </xf>
    <xf numFmtId="169" fontId="82" fillId="11" borderId="18" xfId="0" applyNumberFormat="1" applyFont="1" applyFill="1" applyBorder="1" applyAlignment="1">
      <alignment horizontal="right" vertical="center"/>
    </xf>
    <xf numFmtId="0" fontId="84" fillId="8" borderId="0" xfId="0" applyFont="1" applyFill="1"/>
    <xf numFmtId="4" fontId="87" fillId="11" borderId="138" xfId="0" applyNumberFormat="1" applyFont="1" applyFill="1" applyBorder="1" applyAlignment="1">
      <alignment horizontal="right" vertical="center"/>
    </xf>
    <xf numFmtId="4" fontId="87" fillId="11" borderId="139" xfId="0" applyNumberFormat="1" applyFont="1" applyFill="1" applyBorder="1" applyAlignment="1">
      <alignment horizontal="center" vertical="center"/>
    </xf>
    <xf numFmtId="169" fontId="82" fillId="11" borderId="152" xfId="0" applyNumberFormat="1" applyFont="1" applyFill="1" applyBorder="1" applyAlignment="1">
      <alignment horizontal="right" vertical="center"/>
    </xf>
    <xf numFmtId="4" fontId="87" fillId="12" borderId="49" xfId="0" applyNumberFormat="1" applyFont="1" applyFill="1" applyBorder="1" applyAlignment="1">
      <alignment horizontal="centerContinuous" vertical="center"/>
    </xf>
    <xf numFmtId="4" fontId="87" fillId="12" borderId="18" xfId="0" applyNumberFormat="1" applyFont="1" applyFill="1" applyBorder="1" applyAlignment="1">
      <alignment horizontal="centerContinuous" vertical="center"/>
    </xf>
    <xf numFmtId="4" fontId="87" fillId="12" borderId="18" xfId="0" applyNumberFormat="1" applyFont="1" applyFill="1" applyBorder="1" applyAlignment="1">
      <alignment horizontal="center" vertical="center"/>
    </xf>
    <xf numFmtId="169" fontId="82" fillId="12" borderId="18" xfId="0" applyNumberFormat="1" applyFont="1" applyFill="1" applyBorder="1" applyAlignment="1">
      <alignment horizontal="center" vertical="center"/>
    </xf>
    <xf numFmtId="169" fontId="82" fillId="12" borderId="136" xfId="0" applyNumberFormat="1" applyFont="1" applyFill="1" applyBorder="1" applyAlignment="1">
      <alignment horizontal="right" vertical="center"/>
    </xf>
    <xf numFmtId="169" fontId="82" fillId="12" borderId="18" xfId="0" applyNumberFormat="1" applyFont="1" applyFill="1" applyBorder="1" applyAlignment="1">
      <alignment horizontal="right" vertical="center"/>
    </xf>
    <xf numFmtId="0" fontId="82" fillId="12" borderId="24" xfId="0" applyFont="1" applyFill="1" applyBorder="1" applyAlignment="1">
      <alignment horizontal="center" vertical="center" wrapText="1"/>
    </xf>
    <xf numFmtId="4" fontId="82" fillId="12" borderId="26" xfId="0" applyNumberFormat="1" applyFont="1" applyFill="1" applyBorder="1" applyAlignment="1">
      <alignment horizontal="center" vertical="center" wrapText="1"/>
    </xf>
    <xf numFmtId="4" fontId="82" fillId="12" borderId="25" xfId="0" applyNumberFormat="1" applyFont="1" applyFill="1" applyBorder="1" applyAlignment="1">
      <alignment horizontal="left" vertical="center" wrapText="1"/>
    </xf>
    <xf numFmtId="4" fontId="82" fillId="12" borderId="25" xfId="0" applyNumberFormat="1" applyFont="1" applyFill="1" applyBorder="1" applyAlignment="1">
      <alignment horizontal="center" vertical="center" wrapText="1"/>
    </xf>
    <xf numFmtId="4" fontId="82" fillId="12" borderId="68" xfId="0" applyNumberFormat="1" applyFont="1" applyFill="1" applyBorder="1" applyAlignment="1">
      <alignment horizontal="center" vertical="center" wrapText="1"/>
    </xf>
    <xf numFmtId="4" fontId="82" fillId="12" borderId="148" xfId="0" applyNumberFormat="1" applyFont="1" applyFill="1" applyBorder="1" applyAlignment="1">
      <alignment horizontal="center" vertical="center" wrapText="1"/>
    </xf>
    <xf numFmtId="179" fontId="84" fillId="8" borderId="0" xfId="0" applyNumberFormat="1" applyFont="1" applyFill="1"/>
    <xf numFmtId="4" fontId="87" fillId="12" borderId="49" xfId="0" applyNumberFormat="1" applyFont="1" applyFill="1" applyBorder="1" applyAlignment="1">
      <alignment horizontal="center" vertical="center"/>
    </xf>
    <xf numFmtId="4" fontId="117" fillId="0" borderId="73" xfId="0" applyNumberFormat="1" applyFont="1" applyBorder="1" applyAlignment="1">
      <alignment horizontal="centerContinuous" vertical="center"/>
    </xf>
    <xf numFmtId="4" fontId="117" fillId="0" borderId="16" xfId="0" applyNumberFormat="1" applyFont="1" applyBorder="1" applyAlignment="1">
      <alignment horizontal="centerContinuous" vertical="center"/>
    </xf>
    <xf numFmtId="169" fontId="114" fillId="0" borderId="16" xfId="0" applyNumberFormat="1" applyFont="1" applyBorder="1" applyAlignment="1">
      <alignment horizontal="right" vertical="center"/>
    </xf>
    <xf numFmtId="0" fontId="115" fillId="0" borderId="0" xfId="0" applyFont="1"/>
    <xf numFmtId="10" fontId="114" fillId="0" borderId="58" xfId="168" applyNumberFormat="1" applyFont="1" applyFill="1" applyBorder="1" applyAlignment="1">
      <alignment horizontal="center" vertical="center"/>
    </xf>
    <xf numFmtId="10" fontId="114" fillId="0" borderId="149" xfId="168" applyNumberFormat="1" applyFont="1" applyFill="1" applyBorder="1" applyAlignment="1">
      <alignment horizontal="center" vertical="center"/>
    </xf>
    <xf numFmtId="10" fontId="115" fillId="0" borderId="0" xfId="0" applyNumberFormat="1" applyFont="1"/>
    <xf numFmtId="169" fontId="118" fillId="11" borderId="18" xfId="0" applyNumberFormat="1" applyFont="1" applyFill="1" applyBorder="1" applyAlignment="1">
      <alignment horizontal="right" vertical="center"/>
    </xf>
    <xf numFmtId="169" fontId="118" fillId="12" borderId="18" xfId="0" applyNumberFormat="1" applyFont="1" applyFill="1" applyBorder="1" applyAlignment="1">
      <alignment horizontal="right" vertical="center"/>
    </xf>
    <xf numFmtId="169" fontId="86" fillId="0" borderId="0" xfId="0" applyNumberFormat="1" applyFont="1" applyAlignment="1">
      <alignment horizontal="right" vertical="center"/>
    </xf>
    <xf numFmtId="10" fontId="84" fillId="0" borderId="7" xfId="28" applyNumberFormat="1" applyFont="1" applyFill="1" applyBorder="1" applyAlignment="1">
      <alignment horizontal="right" vertical="center"/>
    </xf>
    <xf numFmtId="10" fontId="7" fillId="0" borderId="7" xfId="28" applyNumberFormat="1" applyFont="1" applyFill="1" applyBorder="1" applyAlignment="1">
      <alignment horizontal="right" vertical="center"/>
    </xf>
    <xf numFmtId="10" fontId="86" fillId="0" borderId="7" xfId="28" applyNumberFormat="1" applyFont="1" applyFill="1" applyBorder="1" applyAlignment="1">
      <alignment horizontal="right" vertical="center"/>
    </xf>
    <xf numFmtId="166" fontId="11" fillId="0" borderId="0" xfId="2" applyFont="1" applyFill="1"/>
    <xf numFmtId="166" fontId="11" fillId="0" borderId="0" xfId="2" applyFont="1" applyFill="1" applyAlignment="1">
      <alignment horizontal="left" vertical="center"/>
    </xf>
    <xf numFmtId="166" fontId="25" fillId="0" borderId="0" xfId="2" applyFont="1" applyFill="1" applyAlignment="1">
      <alignment horizontal="center" vertical="center" wrapText="1"/>
    </xf>
    <xf numFmtId="166" fontId="72" fillId="0" borderId="0" xfId="2" applyFont="1" applyFill="1"/>
    <xf numFmtId="166" fontId="19" fillId="0" borderId="0" xfId="2" applyFont="1" applyFill="1"/>
    <xf numFmtId="166" fontId="11" fillId="0" borderId="0" xfId="2" applyFont="1"/>
    <xf numFmtId="4" fontId="16" fillId="0" borderId="8" xfId="0" applyNumberFormat="1" applyFont="1" applyBorder="1" applyAlignment="1">
      <alignment horizontal="center" vertical="center"/>
    </xf>
    <xf numFmtId="4" fontId="117" fillId="0" borderId="16" xfId="0" applyNumberFormat="1" applyFont="1" applyBorder="1" applyAlignment="1">
      <alignment horizontal="center" vertical="center"/>
    </xf>
    <xf numFmtId="166" fontId="94" fillId="0" borderId="0" xfId="2" applyFont="1" applyFill="1" applyAlignment="1">
      <alignment horizontal="left" vertical="center"/>
    </xf>
    <xf numFmtId="166" fontId="84" fillId="0" borderId="0" xfId="2" applyFont="1" applyFill="1" applyAlignment="1">
      <alignment horizontal="left" vertical="center"/>
    </xf>
    <xf numFmtId="166" fontId="84" fillId="0" borderId="0" xfId="2" applyFont="1" applyFill="1"/>
    <xf numFmtId="166" fontId="84" fillId="0" borderId="0" xfId="2" applyFont="1" applyFill="1" applyAlignment="1">
      <alignment horizontal="center" vertical="center" wrapText="1"/>
    </xf>
    <xf numFmtId="166" fontId="7" fillId="0" borderId="0" xfId="2" applyFont="1" applyFill="1"/>
    <xf numFmtId="0" fontId="66" fillId="0" borderId="101" xfId="52" applyFont="1" applyBorder="1" applyAlignment="1">
      <alignment horizontal="center" vertical="center"/>
    </xf>
    <xf numFmtId="0" fontId="66" fillId="0" borderId="122" xfId="52" applyFont="1" applyBorder="1" applyAlignment="1">
      <alignment horizontal="center" vertical="center"/>
    </xf>
    <xf numFmtId="0" fontId="66" fillId="0" borderId="123" xfId="52" applyFont="1" applyBorder="1" applyAlignment="1">
      <alignment horizontal="center" vertical="center"/>
    </xf>
    <xf numFmtId="0" fontId="66" fillId="0" borderId="102" xfId="52" applyFont="1" applyBorder="1" applyAlignment="1">
      <alignment horizontal="center" vertical="center"/>
    </xf>
    <xf numFmtId="0" fontId="66" fillId="0" borderId="103" xfId="52" applyFont="1" applyBorder="1" applyAlignment="1">
      <alignment horizontal="center" vertical="center"/>
    </xf>
    <xf numFmtId="0" fontId="6" fillId="0" borderId="0" xfId="52" applyAlignment="1">
      <alignment horizontal="right"/>
    </xf>
    <xf numFmtId="0" fontId="6" fillId="0" borderId="0" xfId="52"/>
    <xf numFmtId="0" fontId="6" fillId="0" borderId="104" xfId="52" applyBorder="1"/>
    <xf numFmtId="0" fontId="6" fillId="0" borderId="124" xfId="52" applyBorder="1"/>
    <xf numFmtId="0" fontId="6" fillId="0" borderId="125" xfId="52" applyBorder="1"/>
    <xf numFmtId="0" fontId="6" fillId="0" borderId="105" xfId="52" applyBorder="1"/>
    <xf numFmtId="0" fontId="6" fillId="0" borderId="106" xfId="52" applyBorder="1"/>
    <xf numFmtId="0" fontId="66" fillId="0" borderId="96" xfId="52" applyFont="1" applyBorder="1" applyAlignment="1">
      <alignment horizontal="center"/>
    </xf>
    <xf numFmtId="0" fontId="66" fillId="0" borderId="6" xfId="52" applyFont="1" applyBorder="1"/>
    <xf numFmtId="0" fontId="66" fillId="0" borderId="8" xfId="52" applyFont="1" applyBorder="1"/>
    <xf numFmtId="0" fontId="6" fillId="0" borderId="5" xfId="52" applyBorder="1"/>
    <xf numFmtId="0" fontId="6" fillId="0" borderId="97" xfId="52" applyBorder="1"/>
    <xf numFmtId="0" fontId="6" fillId="0" borderId="96" xfId="52" applyBorder="1" applyAlignment="1">
      <alignment horizontal="center"/>
    </xf>
    <xf numFmtId="0" fontId="6" fillId="0" borderId="7" xfId="52" applyBorder="1" applyAlignment="1">
      <alignment horizontal="center"/>
    </xf>
    <xf numFmtId="0" fontId="6" fillId="0" borderId="8" xfId="52" applyBorder="1" applyAlignment="1">
      <alignment vertical="center"/>
    </xf>
    <xf numFmtId="169" fontId="6" fillId="0" borderId="5" xfId="52" applyNumberFormat="1" applyBorder="1" applyAlignment="1">
      <alignment horizontal="right" vertical="center"/>
    </xf>
    <xf numFmtId="169" fontId="6" fillId="0" borderId="97" xfId="52" applyNumberFormat="1" applyBorder="1" applyAlignment="1">
      <alignment horizontal="center" vertical="center"/>
    </xf>
    <xf numFmtId="0" fontId="6" fillId="0" borderId="0" xfId="52" applyAlignment="1">
      <alignment horizontal="center"/>
    </xf>
    <xf numFmtId="0" fontId="6" fillId="0" borderId="96" xfId="52" applyBorder="1"/>
    <xf numFmtId="0" fontId="66" fillId="0" borderId="7" xfId="52" applyFont="1" applyBorder="1" applyAlignment="1">
      <alignment horizontal="center"/>
    </xf>
    <xf numFmtId="169" fontId="6" fillId="0" borderId="5" xfId="52" applyNumberFormat="1" applyBorder="1" applyAlignment="1">
      <alignment horizontal="center" vertical="center"/>
    </xf>
    <xf numFmtId="0" fontId="6" fillId="0" borderId="8" xfId="45" applyBorder="1" applyAlignment="1">
      <alignment vertical="center"/>
    </xf>
    <xf numFmtId="169" fontId="6" fillId="0" borderId="5" xfId="45" applyNumberFormat="1" applyBorder="1" applyAlignment="1">
      <alignment horizontal="center" vertical="center"/>
    </xf>
    <xf numFmtId="0" fontId="6" fillId="0" borderId="108" xfId="52" applyBorder="1" applyAlignment="1">
      <alignment vertical="center"/>
    </xf>
    <xf numFmtId="170" fontId="6" fillId="0" borderId="5" xfId="35" applyNumberFormat="1" applyFont="1" applyBorder="1"/>
    <xf numFmtId="0" fontId="6" fillId="0" borderId="110" xfId="52" applyBorder="1" applyAlignment="1">
      <alignment horizontal="center" vertical="center" wrapText="1"/>
    </xf>
    <xf numFmtId="0" fontId="6" fillId="0" borderId="8" xfId="52" applyBorder="1" applyAlignment="1">
      <alignment horizontal="left"/>
    </xf>
    <xf numFmtId="172" fontId="6" fillId="0" borderId="5" xfId="44" applyNumberFormat="1" applyFont="1" applyFill="1" applyBorder="1"/>
    <xf numFmtId="0" fontId="6" fillId="0" borderId="97" xfId="52" applyBorder="1" applyAlignment="1">
      <alignment horizontal="center"/>
    </xf>
    <xf numFmtId="0" fontId="6" fillId="0" borderId="108" xfId="0" applyFont="1" applyBorder="1" applyAlignment="1">
      <alignment vertical="center"/>
    </xf>
    <xf numFmtId="0" fontId="120" fillId="0" borderId="110" xfId="0" applyFont="1" applyBorder="1" applyAlignment="1">
      <alignment horizontal="center" vertical="center" wrapText="1"/>
    </xf>
    <xf numFmtId="0" fontId="6" fillId="0" borderId="8" xfId="52" applyBorder="1"/>
    <xf numFmtId="0" fontId="119" fillId="0" borderId="132" xfId="0" applyFont="1" applyBorder="1" applyAlignment="1">
      <alignment horizontal="left" vertical="center"/>
    </xf>
    <xf numFmtId="12" fontId="84" fillId="0" borderId="0" xfId="0" applyNumberFormat="1" applyFont="1" applyAlignment="1">
      <alignment horizontal="right" vertical="center"/>
    </xf>
    <xf numFmtId="12" fontId="84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166" fontId="82" fillId="0" borderId="140" xfId="2" applyFont="1" applyFill="1" applyBorder="1" applyAlignment="1">
      <alignment vertical="center"/>
    </xf>
    <xf numFmtId="169" fontId="82" fillId="12" borderId="54" xfId="0" applyNumberFormat="1" applyFont="1" applyFill="1" applyBorder="1" applyAlignment="1">
      <alignment horizontal="right" vertical="center"/>
    </xf>
    <xf numFmtId="0" fontId="82" fillId="0" borderId="140" xfId="0" applyFont="1" applyBorder="1" applyAlignment="1">
      <alignment horizontal="center" vertical="center"/>
    </xf>
    <xf numFmtId="0" fontId="84" fillId="0" borderId="140" xfId="0" applyFont="1" applyBorder="1" applyAlignment="1">
      <alignment horizontal="right" vertical="center"/>
    </xf>
    <xf numFmtId="0" fontId="63" fillId="0" borderId="140" xfId="0" applyFont="1" applyBorder="1" applyAlignment="1">
      <alignment horizontal="center" vertical="center"/>
    </xf>
    <xf numFmtId="0" fontId="7" fillId="0" borderId="140" xfId="0" applyFont="1" applyBorder="1" applyAlignment="1">
      <alignment horizontal="right" vertical="center"/>
    </xf>
    <xf numFmtId="0" fontId="84" fillId="0" borderId="132" xfId="0" applyFont="1" applyBorder="1" applyAlignment="1">
      <alignment vertical="center"/>
    </xf>
    <xf numFmtId="4" fontId="85" fillId="0" borderId="132" xfId="0" applyNumberFormat="1" applyFont="1" applyBorder="1" applyAlignment="1">
      <alignment horizontal="right" vertical="center"/>
    </xf>
    <xf numFmtId="37" fontId="8" fillId="0" borderId="0" xfId="3" applyNumberFormat="1" applyFont="1" applyAlignment="1">
      <alignment horizontal="center" vertical="center" wrapText="1"/>
    </xf>
    <xf numFmtId="0" fontId="14" fillId="0" borderId="55" xfId="52" applyFont="1" applyBorder="1" applyAlignment="1">
      <alignment horizontal="center" vertical="center" wrapText="1"/>
    </xf>
    <xf numFmtId="0" fontId="14" fillId="0" borderId="51" xfId="52" applyFont="1" applyBorder="1" applyAlignment="1">
      <alignment horizontal="center" vertical="center" wrapText="1"/>
    </xf>
    <xf numFmtId="0" fontId="14" fillId="0" borderId="56" xfId="52" applyFont="1" applyBorder="1" applyAlignment="1">
      <alignment horizontal="center" vertical="center" wrapText="1"/>
    </xf>
    <xf numFmtId="0" fontId="13" fillId="0" borderId="23" xfId="52" quotePrefix="1" applyFont="1" applyBorder="1" applyAlignment="1">
      <alignment horizontal="center" vertical="center"/>
    </xf>
    <xf numFmtId="0" fontId="13" fillId="0" borderId="16" xfId="52" quotePrefix="1" applyFont="1" applyBorder="1" applyAlignment="1">
      <alignment horizontal="center" vertical="center"/>
    </xf>
    <xf numFmtId="0" fontId="13" fillId="0" borderId="57" xfId="52" quotePrefix="1" applyFont="1" applyBorder="1" applyAlignment="1">
      <alignment horizontal="center" vertical="center"/>
    </xf>
    <xf numFmtId="0" fontId="69" fillId="0" borderId="72" xfId="46" applyFont="1" applyBorder="1" applyAlignment="1">
      <alignment horizontal="center" vertical="top" wrapText="1"/>
    </xf>
    <xf numFmtId="0" fontId="69" fillId="0" borderId="0" xfId="46" applyFont="1" applyAlignment="1">
      <alignment horizontal="center" vertical="top" wrapText="1"/>
    </xf>
    <xf numFmtId="0" fontId="69" fillId="0" borderId="77" xfId="46" applyFont="1" applyBorder="1" applyAlignment="1">
      <alignment horizontal="center" vertical="top" wrapText="1"/>
    </xf>
    <xf numFmtId="0" fontId="67" fillId="0" borderId="72" xfId="46" applyFont="1" applyBorder="1" applyAlignment="1">
      <alignment horizontal="center" vertical="center"/>
    </xf>
    <xf numFmtId="0" fontId="67" fillId="0" borderId="0" xfId="46" applyFont="1" applyAlignment="1">
      <alignment horizontal="center" vertical="center"/>
    </xf>
    <xf numFmtId="0" fontId="67" fillId="0" borderId="77" xfId="46" applyFont="1" applyBorder="1" applyAlignment="1">
      <alignment horizontal="center" vertical="center"/>
    </xf>
    <xf numFmtId="0" fontId="63" fillId="0" borderId="72" xfId="46" applyFont="1" applyBorder="1" applyAlignment="1">
      <alignment horizontal="center" vertical="center" wrapText="1"/>
    </xf>
    <xf numFmtId="0" fontId="63" fillId="0" borderId="0" xfId="46" applyFont="1" applyAlignment="1">
      <alignment horizontal="center" vertical="center" wrapText="1"/>
    </xf>
    <xf numFmtId="0" fontId="63" fillId="0" borderId="77" xfId="46" applyFont="1" applyBorder="1" applyAlignment="1">
      <alignment horizontal="center" vertical="center" wrapText="1"/>
    </xf>
    <xf numFmtId="39" fontId="63" fillId="0" borderId="36" xfId="3" applyFont="1" applyBorder="1" applyAlignment="1">
      <alignment horizontal="center" vertical="center"/>
    </xf>
    <xf numFmtId="39" fontId="63" fillId="0" borderId="68" xfId="3" applyFont="1" applyBorder="1" applyAlignment="1">
      <alignment horizontal="center" vertical="center"/>
    </xf>
    <xf numFmtId="39" fontId="63" fillId="0" borderId="37" xfId="3" applyFont="1" applyBorder="1" applyAlignment="1">
      <alignment horizontal="center" vertical="center"/>
    </xf>
    <xf numFmtId="39" fontId="63" fillId="0" borderId="40" xfId="3" applyFont="1" applyBorder="1" applyAlignment="1">
      <alignment horizontal="center" vertical="center"/>
    </xf>
    <xf numFmtId="39" fontId="63" fillId="0" borderId="41" xfId="3" applyFont="1" applyBorder="1" applyAlignment="1">
      <alignment horizontal="center" vertical="center"/>
    </xf>
    <xf numFmtId="39" fontId="63" fillId="0" borderId="42" xfId="3" applyFont="1" applyBorder="1" applyAlignment="1">
      <alignment horizontal="center" vertical="center"/>
    </xf>
    <xf numFmtId="37" fontId="100" fillId="0" borderId="17" xfId="3" quotePrefix="1" applyNumberFormat="1" applyFont="1" applyBorder="1" applyAlignment="1">
      <alignment horizontal="center"/>
    </xf>
    <xf numFmtId="37" fontId="100" fillId="0" borderId="16" xfId="3" quotePrefix="1" applyNumberFormat="1" applyFont="1" applyBorder="1" applyAlignment="1">
      <alignment horizontal="center"/>
    </xf>
    <xf numFmtId="37" fontId="100" fillId="0" borderId="19" xfId="3" quotePrefix="1" applyNumberFormat="1" applyFont="1" applyBorder="1" applyAlignment="1">
      <alignment horizontal="center"/>
    </xf>
    <xf numFmtId="37" fontId="44" fillId="2" borderId="0" xfId="3" applyNumberFormat="1" applyFont="1" applyFill="1" applyAlignment="1">
      <alignment horizontal="center" vertical="center"/>
    </xf>
    <xf numFmtId="37" fontId="74" fillId="5" borderId="0" xfId="3" applyNumberFormat="1" applyFont="1" applyFill="1" applyAlignment="1">
      <alignment horizontal="center" vertical="center"/>
    </xf>
    <xf numFmtId="39" fontId="63" fillId="0" borderId="35" xfId="3" applyFont="1" applyBorder="1" applyAlignment="1">
      <alignment horizontal="center" vertical="center"/>
    </xf>
    <xf numFmtId="39" fontId="63" fillId="0" borderId="39" xfId="3" applyFont="1" applyBorder="1" applyAlignment="1">
      <alignment horizontal="center" vertical="center"/>
    </xf>
    <xf numFmtId="167" fontId="63" fillId="0" borderId="38" xfId="1" applyFont="1" applyFill="1" applyBorder="1" applyAlignment="1" applyProtection="1">
      <alignment horizontal="center" vertical="center"/>
    </xf>
    <xf numFmtId="167" fontId="63" fillId="0" borderId="43" xfId="1" applyFont="1" applyFill="1" applyBorder="1" applyAlignment="1" applyProtection="1">
      <alignment horizontal="center" vertical="center"/>
    </xf>
    <xf numFmtId="4" fontId="82" fillId="0" borderId="18" xfId="0" applyNumberFormat="1" applyFont="1" applyBorder="1" applyAlignment="1">
      <alignment horizontal="left" vertical="center"/>
    </xf>
    <xf numFmtId="4" fontId="82" fillId="0" borderId="109" xfId="0" applyNumberFormat="1" applyFont="1" applyBorder="1" applyAlignment="1">
      <alignment horizontal="left" vertical="center"/>
    </xf>
    <xf numFmtId="37" fontId="93" fillId="0" borderId="0" xfId="3" applyNumberFormat="1" applyFont="1" applyAlignment="1">
      <alignment horizontal="center" vertical="center"/>
    </xf>
    <xf numFmtId="0" fontId="82" fillId="0" borderId="55" xfId="0" applyFont="1" applyBorder="1" applyAlignment="1">
      <alignment horizontal="center" vertical="center" wrapText="1"/>
    </xf>
    <xf numFmtId="0" fontId="82" fillId="0" borderId="51" xfId="0" applyFont="1" applyBorder="1" applyAlignment="1">
      <alignment horizontal="center" vertical="center" wrapText="1"/>
    </xf>
    <xf numFmtId="0" fontId="82" fillId="0" borderId="56" xfId="0" applyFont="1" applyBorder="1" applyAlignment="1">
      <alignment horizontal="center" vertical="center" wrapText="1"/>
    </xf>
    <xf numFmtId="0" fontId="85" fillId="0" borderId="23" xfId="0" quotePrefix="1" applyFont="1" applyBorder="1" applyAlignment="1">
      <alignment horizontal="center" vertical="center"/>
    </xf>
    <xf numFmtId="0" fontId="85" fillId="0" borderId="16" xfId="0" quotePrefix="1" applyFont="1" applyBorder="1" applyAlignment="1">
      <alignment horizontal="center" vertical="center"/>
    </xf>
    <xf numFmtId="0" fontId="85" fillId="0" borderId="57" xfId="0" quotePrefix="1" applyFont="1" applyBorder="1" applyAlignment="1">
      <alignment horizontal="center" vertical="center"/>
    </xf>
    <xf numFmtId="37" fontId="61" fillId="5" borderId="0" xfId="3" applyNumberFormat="1" applyFont="1" applyFill="1" applyAlignment="1">
      <alignment horizontal="center" vertical="center"/>
    </xf>
    <xf numFmtId="167" fontId="14" fillId="0" borderId="55" xfId="1" applyFont="1" applyFill="1" applyBorder="1" applyAlignment="1">
      <alignment horizontal="center" vertical="center" wrapText="1"/>
    </xf>
    <xf numFmtId="167" fontId="14" fillId="0" borderId="51" xfId="1" applyFont="1" applyFill="1" applyBorder="1" applyAlignment="1">
      <alignment horizontal="center" vertical="center" wrapText="1"/>
    </xf>
    <xf numFmtId="0" fontId="15" fillId="0" borderId="23" xfId="52" quotePrefix="1" applyFont="1" applyBorder="1" applyAlignment="1">
      <alignment horizontal="center" vertical="center"/>
    </xf>
    <xf numFmtId="0" fontId="15" fillId="0" borderId="16" xfId="52" quotePrefix="1" applyFont="1" applyBorder="1" applyAlignment="1">
      <alignment horizontal="center" vertical="center"/>
    </xf>
    <xf numFmtId="0" fontId="15" fillId="0" borderId="57" xfId="52" quotePrefix="1" applyFont="1" applyBorder="1" applyAlignment="1">
      <alignment horizontal="center" vertical="center"/>
    </xf>
    <xf numFmtId="167" fontId="15" fillId="0" borderId="23" xfId="1" quotePrefix="1" applyFont="1" applyFill="1" applyBorder="1" applyAlignment="1">
      <alignment horizontal="center" vertical="center"/>
    </xf>
    <xf numFmtId="167" fontId="15" fillId="0" borderId="16" xfId="1" quotePrefix="1" applyFont="1" applyFill="1" applyBorder="1" applyAlignment="1">
      <alignment horizontal="center" vertical="center"/>
    </xf>
    <xf numFmtId="0" fontId="14" fillId="0" borderId="55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5" fillId="0" borderId="23" xfId="0" quotePrefix="1" applyFont="1" applyBorder="1" applyAlignment="1">
      <alignment horizontal="center" vertical="center"/>
    </xf>
    <xf numFmtId="0" fontId="15" fillId="0" borderId="16" xfId="0" quotePrefix="1" applyFont="1" applyBorder="1" applyAlignment="1">
      <alignment horizontal="center" vertical="center"/>
    </xf>
    <xf numFmtId="0" fontId="15" fillId="0" borderId="57" xfId="0" quotePrefix="1" applyFont="1" applyBorder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0" fontId="8" fillId="5" borderId="90" xfId="9" applyFont="1" applyFill="1" applyBorder="1" applyAlignment="1">
      <alignment horizontal="center" vertical="center"/>
    </xf>
    <xf numFmtId="0" fontId="13" fillId="0" borderId="138" xfId="52" applyFont="1" applyBorder="1" applyAlignment="1">
      <alignment horizontal="center" vertical="center"/>
    </xf>
    <xf numFmtId="0" fontId="13" fillId="0" borderId="139" xfId="52" applyFont="1" applyBorder="1" applyAlignment="1">
      <alignment horizontal="center" vertical="center"/>
    </xf>
    <xf numFmtId="0" fontId="13" fillId="0" borderId="110" xfId="9" applyFont="1" applyBorder="1" applyAlignment="1">
      <alignment horizontal="left" vertical="center"/>
    </xf>
    <xf numFmtId="0" fontId="13" fillId="0" borderId="108" xfId="9" applyFont="1" applyBorder="1" applyAlignment="1">
      <alignment horizontal="center" vertical="center"/>
    </xf>
    <xf numFmtId="0" fontId="13" fillId="0" borderId="109" xfId="9" applyFont="1" applyBorder="1" applyAlignment="1">
      <alignment horizontal="center" vertical="center"/>
    </xf>
    <xf numFmtId="0" fontId="13" fillId="0" borderId="108" xfId="52" applyFont="1" applyBorder="1" applyAlignment="1">
      <alignment horizontal="center" vertical="center"/>
    </xf>
    <xf numFmtId="0" fontId="13" fillId="0" borderId="109" xfId="52" applyFont="1" applyBorder="1" applyAlignment="1">
      <alignment horizontal="center" vertical="center"/>
    </xf>
    <xf numFmtId="0" fontId="13" fillId="0" borderId="108" xfId="0" applyFont="1" applyBorder="1" applyAlignment="1">
      <alignment horizontal="center" vertical="center"/>
    </xf>
    <xf numFmtId="0" fontId="13" fillId="0" borderId="109" xfId="0" applyFont="1" applyBorder="1" applyAlignment="1">
      <alignment horizontal="center" vertical="center"/>
    </xf>
    <xf numFmtId="0" fontId="15" fillId="0" borderId="138" xfId="0" applyFont="1" applyBorder="1" applyAlignment="1">
      <alignment horizontal="center" vertical="center"/>
    </xf>
    <xf numFmtId="0" fontId="15" fillId="0" borderId="139" xfId="0" applyFont="1" applyBorder="1" applyAlignment="1">
      <alignment horizontal="center" vertical="center"/>
    </xf>
    <xf numFmtId="0" fontId="46" fillId="0" borderId="108" xfId="52" applyFont="1" applyBorder="1" applyAlignment="1">
      <alignment horizontal="left" vertical="center"/>
    </xf>
    <xf numFmtId="0" fontId="46" fillId="0" borderId="109" xfId="52" applyFont="1" applyBorder="1" applyAlignment="1">
      <alignment horizontal="left" vertical="center"/>
    </xf>
    <xf numFmtId="0" fontId="46" fillId="0" borderId="108" xfId="52" applyFont="1" applyBorder="1" applyAlignment="1">
      <alignment horizontal="center" vertical="center"/>
    </xf>
    <xf numFmtId="0" fontId="46" fillId="0" borderId="109" xfId="52" applyFont="1" applyBorder="1" applyAlignment="1">
      <alignment horizontal="center" vertical="center"/>
    </xf>
    <xf numFmtId="0" fontId="13" fillId="0" borderId="110" xfId="9" applyFont="1" applyBorder="1" applyAlignment="1">
      <alignment horizontal="center" vertical="center" wrapText="1"/>
    </xf>
    <xf numFmtId="0" fontId="13" fillId="0" borderId="108" xfId="9" applyFont="1" applyBorder="1" applyAlignment="1">
      <alignment horizontal="left" vertical="center"/>
    </xf>
    <xf numFmtId="0" fontId="13" fillId="0" borderId="109" xfId="9" applyFont="1" applyBorder="1" applyAlignment="1">
      <alignment horizontal="left" vertical="center"/>
    </xf>
    <xf numFmtId="0" fontId="13" fillId="0" borderId="110" xfId="9" applyFont="1" applyBorder="1" applyAlignment="1">
      <alignment horizontal="left" vertical="center" wrapText="1"/>
    </xf>
    <xf numFmtId="0" fontId="75" fillId="5" borderId="0" xfId="52" applyFont="1" applyFill="1" applyAlignment="1">
      <alignment horizontal="center" vertical="center"/>
    </xf>
    <xf numFmtId="0" fontId="13" fillId="0" borderId="138" xfId="0" applyFont="1" applyBorder="1" applyAlignment="1">
      <alignment horizontal="center" vertical="center"/>
    </xf>
    <xf numFmtId="0" fontId="13" fillId="0" borderId="139" xfId="0" applyFont="1" applyBorder="1" applyAlignment="1">
      <alignment horizontal="center" vertical="center"/>
    </xf>
    <xf numFmtId="0" fontId="63" fillId="0" borderId="0" xfId="52" applyFont="1" applyAlignment="1">
      <alignment horizontal="center" vertical="center"/>
    </xf>
    <xf numFmtId="4" fontId="82" fillId="12" borderId="18" xfId="0" applyNumberFormat="1" applyFont="1" applyFill="1" applyBorder="1" applyAlignment="1">
      <alignment horizontal="center" vertical="center"/>
    </xf>
    <xf numFmtId="0" fontId="82" fillId="12" borderId="55" xfId="0" applyFont="1" applyFill="1" applyBorder="1" applyAlignment="1">
      <alignment horizontal="center" vertical="center" wrapText="1"/>
    </xf>
    <xf numFmtId="0" fontId="82" fillId="12" borderId="51" xfId="0" applyFont="1" applyFill="1" applyBorder="1" applyAlignment="1">
      <alignment horizontal="center" vertical="center" wrapText="1"/>
    </xf>
    <xf numFmtId="0" fontId="82" fillId="12" borderId="56" xfId="0" applyFont="1" applyFill="1" applyBorder="1" applyAlignment="1">
      <alignment horizontal="center" vertical="center" wrapText="1"/>
    </xf>
    <xf numFmtId="4" fontId="87" fillId="0" borderId="16" xfId="0" applyNumberFormat="1" applyFont="1" applyBorder="1" applyAlignment="1">
      <alignment horizontal="center" vertical="center"/>
    </xf>
    <xf numFmtId="4" fontId="87" fillId="0" borderId="57" xfId="0" applyNumberFormat="1" applyFont="1" applyBorder="1" applyAlignment="1">
      <alignment horizontal="center" vertical="center"/>
    </xf>
    <xf numFmtId="4" fontId="117" fillId="0" borderId="16" xfId="0" applyNumberFormat="1" applyFont="1" applyBorder="1" applyAlignment="1">
      <alignment horizontal="center" vertical="center"/>
    </xf>
    <xf numFmtId="4" fontId="117" fillId="0" borderId="57" xfId="0" applyNumberFormat="1" applyFont="1" applyBorder="1" applyAlignment="1">
      <alignment horizontal="center" vertical="center"/>
    </xf>
    <xf numFmtId="37" fontId="113" fillId="0" borderId="0" xfId="3" applyNumberFormat="1" applyFont="1" applyAlignment="1">
      <alignment horizontal="center" vertical="center"/>
    </xf>
    <xf numFmtId="37" fontId="116" fillId="0" borderId="0" xfId="3" applyNumberFormat="1" applyFont="1" applyAlignment="1">
      <alignment horizontal="center" vertical="top"/>
    </xf>
    <xf numFmtId="37" fontId="84" fillId="0" borderId="0" xfId="3" applyNumberFormat="1" applyFont="1" applyAlignment="1">
      <alignment horizontal="center" vertical="top"/>
    </xf>
  </cellXfs>
  <cellStyles count="169">
    <cellStyle name="Comma" xfId="1" builtinId="3"/>
    <cellStyle name="Comma [0]" xfId="2" builtinId="6"/>
    <cellStyle name="Comma [0] 10" xfId="35" xr:uid="{00000000-0005-0000-0000-000002000000}"/>
    <cellStyle name="Comma [0] 12 2" xfId="47" xr:uid="{00000000-0005-0000-0000-000003000000}"/>
    <cellStyle name="Comma [0] 12 2 2" xfId="57" xr:uid="{00000000-0005-0000-0000-000004000000}"/>
    <cellStyle name="Comma [0] 12 2 3" xfId="58" xr:uid="{00000000-0005-0000-0000-000005000000}"/>
    <cellStyle name="Comma [0] 2" xfId="10" xr:uid="{00000000-0005-0000-0000-000006000000}"/>
    <cellStyle name="Comma [0] 2 2" xfId="11" xr:uid="{00000000-0005-0000-0000-000007000000}"/>
    <cellStyle name="Comma [0] 2 2 2" xfId="59" xr:uid="{00000000-0005-0000-0000-000008000000}"/>
    <cellStyle name="Comma [0] 2 2 3" xfId="60" xr:uid="{00000000-0005-0000-0000-000009000000}"/>
    <cellStyle name="Comma [0] 2 2 4" xfId="61" xr:uid="{00000000-0005-0000-0000-00000A000000}"/>
    <cellStyle name="Comma [0] 2 3" xfId="23" xr:uid="{00000000-0005-0000-0000-00000B000000}"/>
    <cellStyle name="Comma [0] 2 4" xfId="62" xr:uid="{00000000-0005-0000-0000-00000C000000}"/>
    <cellStyle name="Comma [0] 3" xfId="7" xr:uid="{00000000-0005-0000-0000-00000D000000}"/>
    <cellStyle name="Comma [0] 3 2" xfId="36" xr:uid="{00000000-0005-0000-0000-00000E000000}"/>
    <cellStyle name="Comma [0] 3 3" xfId="63" xr:uid="{00000000-0005-0000-0000-00000F000000}"/>
    <cellStyle name="Comma [0] 4" xfId="14" xr:uid="{00000000-0005-0000-0000-000010000000}"/>
    <cellStyle name="Comma [0] 4 2" xfId="64" xr:uid="{00000000-0005-0000-0000-000011000000}"/>
    <cellStyle name="Comma [0] 4 3" xfId="65" xr:uid="{00000000-0005-0000-0000-000012000000}"/>
    <cellStyle name="Comma [0] 5" xfId="17" xr:uid="{00000000-0005-0000-0000-000013000000}"/>
    <cellStyle name="Comma [0] 5 2" xfId="20" xr:uid="{00000000-0005-0000-0000-000014000000}"/>
    <cellStyle name="Comma [0] 5 2 2" xfId="66" xr:uid="{00000000-0005-0000-0000-000015000000}"/>
    <cellStyle name="Comma [0] 5 2 3" xfId="67" xr:uid="{00000000-0005-0000-0000-000016000000}"/>
    <cellStyle name="Comma [0] 5 3" xfId="68" xr:uid="{00000000-0005-0000-0000-000017000000}"/>
    <cellStyle name="Comma [0] 5 4" xfId="69" xr:uid="{00000000-0005-0000-0000-000018000000}"/>
    <cellStyle name="Comma [0] 6" xfId="70" xr:uid="{00000000-0005-0000-0000-000019000000}"/>
    <cellStyle name="Comma [0] 6 2" xfId="71" xr:uid="{00000000-0005-0000-0000-00001A000000}"/>
    <cellStyle name="Comma [0] 6 2 2" xfId="165" xr:uid="{00000000-0005-0000-0000-00001B000000}"/>
    <cellStyle name="Comma [0] 6 3" xfId="72" xr:uid="{00000000-0005-0000-0000-00001C000000}"/>
    <cellStyle name="Comma [0] 7" xfId="73" xr:uid="{00000000-0005-0000-0000-00001D000000}"/>
    <cellStyle name="Comma [0] 8" xfId="74" xr:uid="{00000000-0005-0000-0000-00001E000000}"/>
    <cellStyle name="Comma [0] 8 2" xfId="75" xr:uid="{00000000-0005-0000-0000-00001F000000}"/>
    <cellStyle name="Comma [0] 8 2 2" xfId="76" xr:uid="{00000000-0005-0000-0000-000020000000}"/>
    <cellStyle name="Comma [0] 8 2 3" xfId="77" xr:uid="{00000000-0005-0000-0000-000021000000}"/>
    <cellStyle name="Comma [0] 8 3" xfId="78" xr:uid="{00000000-0005-0000-0000-000022000000}"/>
    <cellStyle name="Comma [0] 8 4" xfId="79" xr:uid="{00000000-0005-0000-0000-000023000000}"/>
    <cellStyle name="Comma [0] 9" xfId="80" xr:uid="{00000000-0005-0000-0000-000024000000}"/>
    <cellStyle name="Comma 10" xfId="81" xr:uid="{00000000-0005-0000-0000-000025000000}"/>
    <cellStyle name="Comma 10 2" xfId="48" xr:uid="{00000000-0005-0000-0000-000026000000}"/>
    <cellStyle name="Comma 10 2 2" xfId="82" xr:uid="{00000000-0005-0000-0000-000027000000}"/>
    <cellStyle name="Comma 10 2 3" xfId="83" xr:uid="{00000000-0005-0000-0000-000028000000}"/>
    <cellStyle name="Comma 10 2 4" xfId="49" xr:uid="{00000000-0005-0000-0000-000029000000}"/>
    <cellStyle name="Comma 10 2 4 2" xfId="84" xr:uid="{00000000-0005-0000-0000-00002A000000}"/>
    <cellStyle name="Comma 10 2 4 3" xfId="85" xr:uid="{00000000-0005-0000-0000-00002B000000}"/>
    <cellStyle name="Comma 11" xfId="86" xr:uid="{00000000-0005-0000-0000-00002C000000}"/>
    <cellStyle name="Comma 12" xfId="87" xr:uid="{00000000-0005-0000-0000-00002D000000}"/>
    <cellStyle name="Comma 13" xfId="88" xr:uid="{00000000-0005-0000-0000-00002E000000}"/>
    <cellStyle name="Comma 14" xfId="89" xr:uid="{00000000-0005-0000-0000-00002F000000}"/>
    <cellStyle name="Comma 15" xfId="90" xr:uid="{00000000-0005-0000-0000-000030000000}"/>
    <cellStyle name="Comma 16" xfId="91" xr:uid="{00000000-0005-0000-0000-000031000000}"/>
    <cellStyle name="Comma 17" xfId="92" xr:uid="{00000000-0005-0000-0000-000032000000}"/>
    <cellStyle name="Comma 18" xfId="93" xr:uid="{00000000-0005-0000-0000-000033000000}"/>
    <cellStyle name="Comma 19" xfId="94" xr:uid="{00000000-0005-0000-0000-000034000000}"/>
    <cellStyle name="Comma 2" xfId="8" xr:uid="{00000000-0005-0000-0000-000035000000}"/>
    <cellStyle name="Comma 2 10" xfId="37" xr:uid="{00000000-0005-0000-0000-000036000000}"/>
    <cellStyle name="Comma 2 2" xfId="18" xr:uid="{00000000-0005-0000-0000-000037000000}"/>
    <cellStyle name="Comma 2 2 2" xfId="95" xr:uid="{00000000-0005-0000-0000-000038000000}"/>
    <cellStyle name="Comma 2 2 2 2" xfId="96" xr:uid="{00000000-0005-0000-0000-000039000000}"/>
    <cellStyle name="Comma 2 2 2 3" xfId="97" xr:uid="{00000000-0005-0000-0000-00003A000000}"/>
    <cellStyle name="Comma 2 2 3" xfId="98" xr:uid="{00000000-0005-0000-0000-00003B000000}"/>
    <cellStyle name="Comma 2 2 4" xfId="99" xr:uid="{00000000-0005-0000-0000-00003C000000}"/>
    <cellStyle name="Comma 2 3" xfId="24" xr:uid="{00000000-0005-0000-0000-00003D000000}"/>
    <cellStyle name="Comma 2 3 2" xfId="100" xr:uid="{00000000-0005-0000-0000-00003E000000}"/>
    <cellStyle name="Comma 2 3 3" xfId="101" xr:uid="{00000000-0005-0000-0000-00003F000000}"/>
    <cellStyle name="Comma 2 4" xfId="102" xr:uid="{00000000-0005-0000-0000-000040000000}"/>
    <cellStyle name="Comma 2 5" xfId="103" xr:uid="{00000000-0005-0000-0000-000041000000}"/>
    <cellStyle name="Comma 20" xfId="104" xr:uid="{00000000-0005-0000-0000-000042000000}"/>
    <cellStyle name="Comma 21" xfId="105" xr:uid="{00000000-0005-0000-0000-000043000000}"/>
    <cellStyle name="Comma 22" xfId="106" xr:uid="{00000000-0005-0000-0000-000044000000}"/>
    <cellStyle name="Comma 23" xfId="107" xr:uid="{00000000-0005-0000-0000-000045000000}"/>
    <cellStyle name="Comma 24" xfId="108" xr:uid="{00000000-0005-0000-0000-000046000000}"/>
    <cellStyle name="Comma 25" xfId="109" xr:uid="{00000000-0005-0000-0000-000047000000}"/>
    <cellStyle name="Comma 26" xfId="110" xr:uid="{00000000-0005-0000-0000-000048000000}"/>
    <cellStyle name="Comma 27" xfId="111" xr:uid="{00000000-0005-0000-0000-000049000000}"/>
    <cellStyle name="Comma 28" xfId="112" xr:uid="{00000000-0005-0000-0000-00004A000000}"/>
    <cellStyle name="Comma 29" xfId="113" xr:uid="{00000000-0005-0000-0000-00004B000000}"/>
    <cellStyle name="Comma 3" xfId="12" xr:uid="{00000000-0005-0000-0000-00004C000000}"/>
    <cellStyle name="Comma 3 2" xfId="13" xr:uid="{00000000-0005-0000-0000-00004D000000}"/>
    <cellStyle name="Comma 3 2 2" xfId="114" xr:uid="{00000000-0005-0000-0000-00004E000000}"/>
    <cellStyle name="Comma 3 2 3" xfId="115" xr:uid="{00000000-0005-0000-0000-00004F000000}"/>
    <cellStyle name="Comma 3 3" xfId="50" xr:uid="{00000000-0005-0000-0000-000050000000}"/>
    <cellStyle name="Comma 3 3 2" xfId="116" xr:uid="{00000000-0005-0000-0000-000051000000}"/>
    <cellStyle name="Comma 3 3 3" xfId="117" xr:uid="{00000000-0005-0000-0000-000052000000}"/>
    <cellStyle name="Comma 3 4" xfId="118" xr:uid="{00000000-0005-0000-0000-000053000000}"/>
    <cellStyle name="Comma 3 5" xfId="119" xr:uid="{00000000-0005-0000-0000-000054000000}"/>
    <cellStyle name="Comma 30" xfId="120" xr:uid="{00000000-0005-0000-0000-000055000000}"/>
    <cellStyle name="Comma 31" xfId="121" xr:uid="{00000000-0005-0000-0000-000056000000}"/>
    <cellStyle name="Comma 32" xfId="122" xr:uid="{00000000-0005-0000-0000-000057000000}"/>
    <cellStyle name="Comma 33" xfId="123" xr:uid="{00000000-0005-0000-0000-000058000000}"/>
    <cellStyle name="Comma 34" xfId="124" xr:uid="{00000000-0005-0000-0000-000059000000}"/>
    <cellStyle name="Comma 35" xfId="125" xr:uid="{00000000-0005-0000-0000-00005A000000}"/>
    <cellStyle name="Comma 36" xfId="126" xr:uid="{00000000-0005-0000-0000-00005B000000}"/>
    <cellStyle name="Comma 37" xfId="127" xr:uid="{00000000-0005-0000-0000-00005C000000}"/>
    <cellStyle name="Comma 4" xfId="21" xr:uid="{00000000-0005-0000-0000-00005D000000}"/>
    <cellStyle name="Comma 4 2" xfId="51" xr:uid="{00000000-0005-0000-0000-00005E000000}"/>
    <cellStyle name="Comma 4 2 2" xfId="128" xr:uid="{00000000-0005-0000-0000-00005F000000}"/>
    <cellStyle name="Comma 4 2 3" xfId="129" xr:uid="{00000000-0005-0000-0000-000060000000}"/>
    <cellStyle name="Comma 4 3" xfId="130" xr:uid="{00000000-0005-0000-0000-000061000000}"/>
    <cellStyle name="Comma 4 4" xfId="131" xr:uid="{00000000-0005-0000-0000-000062000000}"/>
    <cellStyle name="Comma 5" xfId="31" xr:uid="{00000000-0005-0000-0000-000063000000}"/>
    <cellStyle name="Comma 5 2" xfId="34" xr:uid="{00000000-0005-0000-0000-000064000000}"/>
    <cellStyle name="Comma 5 3" xfId="132" xr:uid="{00000000-0005-0000-0000-000065000000}"/>
    <cellStyle name="Comma 6" xfId="133" xr:uid="{00000000-0005-0000-0000-000066000000}"/>
    <cellStyle name="Comma 66 2" xfId="38" xr:uid="{00000000-0005-0000-0000-000067000000}"/>
    <cellStyle name="Comma 7" xfId="43" xr:uid="{00000000-0005-0000-0000-000068000000}"/>
    <cellStyle name="Comma 8" xfId="42" xr:uid="{00000000-0005-0000-0000-000069000000}"/>
    <cellStyle name="Comma 9" xfId="134" xr:uid="{00000000-0005-0000-0000-00006A000000}"/>
    <cellStyle name="Currency [0] 2" xfId="33" xr:uid="{00000000-0005-0000-0000-00006B000000}"/>
    <cellStyle name="Currency [0] 2 2" xfId="44" xr:uid="{00000000-0005-0000-0000-00006C000000}"/>
    <cellStyle name="Currency [0] 2 3" xfId="135" xr:uid="{00000000-0005-0000-0000-00006D000000}"/>
    <cellStyle name="Currency [0] 3" xfId="136" xr:uid="{00000000-0005-0000-0000-00006E000000}"/>
    <cellStyle name="Currency [0] 3 2" xfId="160" xr:uid="{00000000-0005-0000-0000-00006F000000}"/>
    <cellStyle name="Currency [0] 4" xfId="137" xr:uid="{00000000-0005-0000-0000-000070000000}"/>
    <cellStyle name="Currency [0] 5" xfId="138" xr:uid="{00000000-0005-0000-0000-000071000000}"/>
    <cellStyle name="Hyperlink 2" xfId="139" xr:uid="{00000000-0005-0000-0000-000072000000}"/>
    <cellStyle name="Normal" xfId="0" builtinId="0"/>
    <cellStyle name="Normal 10" xfId="52" xr:uid="{00000000-0005-0000-0000-000074000000}"/>
    <cellStyle name="Normal 10 2" xfId="140" xr:uid="{00000000-0005-0000-0000-000075000000}"/>
    <cellStyle name="Normal 11" xfId="32" xr:uid="{00000000-0005-0000-0000-000076000000}"/>
    <cellStyle name="Normal 11 2" xfId="45" xr:uid="{00000000-0005-0000-0000-000077000000}"/>
    <cellStyle name="Normal 11 3" xfId="141" xr:uid="{00000000-0005-0000-0000-000078000000}"/>
    <cellStyle name="Normal 12" xfId="142" xr:uid="{00000000-0005-0000-0000-000079000000}"/>
    <cellStyle name="Normal 13" xfId="143" xr:uid="{00000000-0005-0000-0000-00007A000000}"/>
    <cellStyle name="Normal 14" xfId="144" xr:uid="{00000000-0005-0000-0000-00007B000000}"/>
    <cellStyle name="Normal 2" xfId="4" xr:uid="{00000000-0005-0000-0000-00007C000000}"/>
    <cellStyle name="Normal 2 2" xfId="9" xr:uid="{00000000-0005-0000-0000-00007D000000}"/>
    <cellStyle name="Normal 2 2 10" xfId="5" xr:uid="{00000000-0005-0000-0000-00007E000000}"/>
    <cellStyle name="Normal 2 2 2" xfId="19" xr:uid="{00000000-0005-0000-0000-00007F000000}"/>
    <cellStyle name="Normal 2 2 3" xfId="46" xr:uid="{00000000-0005-0000-0000-000080000000}"/>
    <cellStyle name="Normal 2 2 4" xfId="161" xr:uid="{00000000-0005-0000-0000-000081000000}"/>
    <cellStyle name="Normal 2 20" xfId="167" xr:uid="{00000000-0005-0000-0000-000082000000}"/>
    <cellStyle name="Normal 2 3" xfId="25" xr:uid="{00000000-0005-0000-0000-000083000000}"/>
    <cellStyle name="Normal 2 4" xfId="26" xr:uid="{00000000-0005-0000-0000-000084000000}"/>
    <cellStyle name="Normal 2_ANALISA ME" xfId="27" xr:uid="{00000000-0005-0000-0000-000085000000}"/>
    <cellStyle name="Normal 24" xfId="53" xr:uid="{00000000-0005-0000-0000-000086000000}"/>
    <cellStyle name="Normal 24 2" xfId="145" xr:uid="{00000000-0005-0000-0000-000087000000}"/>
    <cellStyle name="Normal 24 3" xfId="146" xr:uid="{00000000-0005-0000-0000-000088000000}"/>
    <cellStyle name="Normal 3" xfId="6" xr:uid="{00000000-0005-0000-0000-000089000000}"/>
    <cellStyle name="Normal 3 10" xfId="147" xr:uid="{00000000-0005-0000-0000-00008A000000}"/>
    <cellStyle name="Normal 3 10 2" xfId="148" xr:uid="{00000000-0005-0000-0000-00008B000000}"/>
    <cellStyle name="Normal 3 2" xfId="16" xr:uid="{00000000-0005-0000-0000-00008C000000}"/>
    <cellStyle name="Normal 3 2 2" xfId="149" xr:uid="{00000000-0005-0000-0000-00008D000000}"/>
    <cellStyle name="Normal 3 2 3" xfId="150" xr:uid="{00000000-0005-0000-0000-00008E000000}"/>
    <cellStyle name="Normal 3 3" xfId="15" xr:uid="{00000000-0005-0000-0000-00008F000000}"/>
    <cellStyle name="Normal 3 4 3" xfId="166" xr:uid="{00000000-0005-0000-0000-000090000000}"/>
    <cellStyle name="Normal 3 8" xfId="54" xr:uid="{00000000-0005-0000-0000-000091000000}"/>
    <cellStyle name="Normal 4" xfId="22" xr:uid="{00000000-0005-0000-0000-000092000000}"/>
    <cellStyle name="Normal 4 2" xfId="151" xr:uid="{00000000-0005-0000-0000-000093000000}"/>
    <cellStyle name="Normal 5" xfId="152" xr:uid="{00000000-0005-0000-0000-000094000000}"/>
    <cellStyle name="Normal 5 2" xfId="153" xr:uid="{00000000-0005-0000-0000-000095000000}"/>
    <cellStyle name="Normal 5 3" xfId="154" xr:uid="{00000000-0005-0000-0000-000096000000}"/>
    <cellStyle name="Normal 6" xfId="155" xr:uid="{00000000-0005-0000-0000-000097000000}"/>
    <cellStyle name="Normal 7" xfId="55" xr:uid="{00000000-0005-0000-0000-000098000000}"/>
    <cellStyle name="Normal 7 2" xfId="156" xr:uid="{00000000-0005-0000-0000-000099000000}"/>
    <cellStyle name="Normal 7 3" xfId="56" xr:uid="{00000000-0005-0000-0000-00009A000000}"/>
    <cellStyle name="Normal 7 3 2" xfId="157" xr:uid="{00000000-0005-0000-0000-00009B000000}"/>
    <cellStyle name="Normal 8" xfId="39" xr:uid="{00000000-0005-0000-0000-00009C000000}"/>
    <cellStyle name="Normal 8 3" xfId="40" xr:uid="{00000000-0005-0000-0000-00009D000000}"/>
    <cellStyle name="Normal 9" xfId="158" xr:uid="{00000000-0005-0000-0000-00009E000000}"/>
    <cellStyle name="Normal 9 4 2" xfId="41" xr:uid="{00000000-0005-0000-0000-00009F000000}"/>
    <cellStyle name="Normal_RAB-Bank BPD ACEH cara ABK 2002r" xfId="3" xr:uid="{00000000-0005-0000-0000-0000A0000000}"/>
    <cellStyle name="Percent" xfId="168" builtinId="5"/>
    <cellStyle name="Percent 2" xfId="28" xr:uid="{00000000-0005-0000-0000-0000A2000000}"/>
    <cellStyle name="Percent 2 2" xfId="162" xr:uid="{00000000-0005-0000-0000-0000A3000000}"/>
    <cellStyle name="Percent 2 3" xfId="163" xr:uid="{00000000-0005-0000-0000-0000A4000000}"/>
    <cellStyle name="Percent 3" xfId="164" xr:uid="{00000000-0005-0000-0000-0000A5000000}"/>
    <cellStyle name="Percent 5" xfId="159" xr:uid="{00000000-0005-0000-0000-0000A6000000}"/>
    <cellStyle name="桁区切り_MFC-1-Final BQ-Amendment No.5" xfId="29" xr:uid="{00000000-0005-0000-0000-0000A7000000}"/>
    <cellStyle name="標準_MFC-1-Final BQ-Amendment No.5" xfId="30" xr:uid="{00000000-0005-0000-0000-0000A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9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7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3.xml"/><Relationship Id="rId95" Type="http://schemas.openxmlformats.org/officeDocument/2006/relationships/sharedStrings" Target="sharedStrings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80" Type="http://schemas.openxmlformats.org/officeDocument/2006/relationships/externalLink" Target="externalLinks/externalLink63.xml"/><Relationship Id="rId85" Type="http://schemas.openxmlformats.org/officeDocument/2006/relationships/externalLink" Target="externalLinks/externalLink68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66.xml"/><Relationship Id="rId88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74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69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6" Type="http://schemas.openxmlformats.org/officeDocument/2006/relationships/externalLink" Target="externalLinks/externalLink5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92" Type="http://schemas.openxmlformats.org/officeDocument/2006/relationships/externalLink" Target="externalLinks/externalLink7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7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49.xml"/><Relationship Id="rId87" Type="http://schemas.openxmlformats.org/officeDocument/2006/relationships/externalLink" Target="externalLinks/externalLink70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39.xml"/><Relationship Id="rId77" Type="http://schemas.openxmlformats.org/officeDocument/2006/relationships/externalLink" Target="externalLinks/externalLink6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72889</xdr:colOff>
      <xdr:row>7</xdr:row>
      <xdr:rowOff>53010</xdr:rowOff>
    </xdr:from>
    <xdr:to>
      <xdr:col>5</xdr:col>
      <xdr:colOff>258419</xdr:colOff>
      <xdr:row>11</xdr:row>
      <xdr:rowOff>108205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02367" y="1272210"/>
          <a:ext cx="3982278" cy="7708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PEMERINTAH PROVINSI SUMATERA UTARA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DINAS KEP</a:t>
          </a:r>
          <a:r>
            <a:rPr lang="id-ID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EMUDA</a:t>
          </a:r>
          <a:r>
            <a:rPr lang="en-US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</a:t>
          </a:r>
          <a:r>
            <a:rPr lang="id-ID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DAN </a:t>
          </a:r>
          <a:r>
            <a:rPr lang="en-US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</a:t>
          </a:r>
          <a:r>
            <a:rPr lang="id-ID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OLAHRAGA</a:t>
          </a:r>
          <a:r>
            <a:rPr lang="en-US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</a:t>
          </a:r>
          <a:endParaRPr lang="en-US" sz="13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900" b="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Jl. Williem Iskandar No.9,</a:t>
          </a:r>
          <a:r>
            <a:rPr lang="id-ID" sz="900" b="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900" b="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Medan</a:t>
          </a:r>
          <a:endParaRPr lang="en-US" sz="600" i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29308</xdr:colOff>
      <xdr:row>2</xdr:row>
      <xdr:rowOff>20034</xdr:rowOff>
    </xdr:from>
    <xdr:to>
      <xdr:col>4</xdr:col>
      <xdr:colOff>7327</xdr:colOff>
      <xdr:row>7</xdr:row>
      <xdr:rowOff>98491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5186" y="377843"/>
          <a:ext cx="786402" cy="939848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601980</xdr:colOff>
          <xdr:row>30</xdr:row>
          <xdr:rowOff>91440</xdr:rowOff>
        </xdr:from>
        <xdr:to>
          <xdr:col>12</xdr:col>
          <xdr:colOff>7620</xdr:colOff>
          <xdr:row>34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160020</xdr:colOff>
          <xdr:row>30</xdr:row>
          <xdr:rowOff>152400</xdr:rowOff>
        </xdr:from>
        <xdr:to>
          <xdr:col>4</xdr:col>
          <xdr:colOff>952500</xdr:colOff>
          <xdr:row>33</xdr:row>
          <xdr:rowOff>152400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911376</xdr:colOff>
      <xdr:row>81</xdr:row>
      <xdr:rowOff>77611</xdr:rowOff>
    </xdr:from>
    <xdr:to>
      <xdr:col>26</xdr:col>
      <xdr:colOff>265808</xdr:colOff>
      <xdr:row>94</xdr:row>
      <xdr:rowOff>104587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1987" y="4296833"/>
          <a:ext cx="6953265" cy="2584876"/>
        </a:xfrm>
        <a:prstGeom prst="rect">
          <a:avLst/>
        </a:prstGeom>
      </xdr:spPr>
    </xdr:pic>
    <xdr:clientData/>
  </xdr:twoCellAnchor>
  <xdr:twoCellAnchor editAs="oneCell">
    <xdr:from>
      <xdr:col>13</xdr:col>
      <xdr:colOff>280608</xdr:colOff>
      <xdr:row>82</xdr:row>
      <xdr:rowOff>33866</xdr:rowOff>
    </xdr:from>
    <xdr:to>
      <xdr:col>28</xdr:col>
      <xdr:colOff>98730</xdr:colOff>
      <xdr:row>105</xdr:row>
      <xdr:rowOff>46272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7941" y="4309533"/>
          <a:ext cx="11519056" cy="4491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621553</xdr:colOff>
      <xdr:row>51</xdr:row>
      <xdr:rowOff>149410</xdr:rowOff>
    </xdr:from>
    <xdr:to>
      <xdr:col>31</xdr:col>
      <xdr:colOff>456026</xdr:colOff>
      <xdr:row>65</xdr:row>
      <xdr:rowOff>48949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9612" y="11168528"/>
          <a:ext cx="7221391" cy="2828009"/>
        </a:xfrm>
        <a:prstGeom prst="rect">
          <a:avLst/>
        </a:prstGeom>
      </xdr:spPr>
    </xdr:pic>
    <xdr:clientData/>
  </xdr:twoCellAnchor>
  <xdr:twoCellAnchor editAs="oneCell">
    <xdr:from>
      <xdr:col>32</xdr:col>
      <xdr:colOff>124691</xdr:colOff>
      <xdr:row>40</xdr:row>
      <xdr:rowOff>180109</xdr:rowOff>
    </xdr:from>
    <xdr:to>
      <xdr:col>42</xdr:col>
      <xdr:colOff>61507</xdr:colOff>
      <xdr:row>64</xdr:row>
      <xdr:rowOff>123040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3964" y="8894618"/>
          <a:ext cx="6309907" cy="49305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780</xdr:row>
          <xdr:rowOff>0</xdr:rowOff>
        </xdr:from>
        <xdr:to>
          <xdr:col>0</xdr:col>
          <xdr:colOff>640080</xdr:colOff>
          <xdr:row>780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C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780</xdr:row>
          <xdr:rowOff>0</xdr:rowOff>
        </xdr:from>
        <xdr:to>
          <xdr:col>0</xdr:col>
          <xdr:colOff>640080</xdr:colOff>
          <xdr:row>780</xdr:row>
          <xdr:rowOff>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C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780</xdr:row>
          <xdr:rowOff>0</xdr:rowOff>
        </xdr:from>
        <xdr:to>
          <xdr:col>0</xdr:col>
          <xdr:colOff>640080</xdr:colOff>
          <xdr:row>780</xdr:row>
          <xdr:rowOff>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C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780</xdr:row>
          <xdr:rowOff>0</xdr:rowOff>
        </xdr:from>
        <xdr:to>
          <xdr:col>0</xdr:col>
          <xdr:colOff>640080</xdr:colOff>
          <xdr:row>780</xdr:row>
          <xdr:rowOff>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C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822</xdr:row>
          <xdr:rowOff>0</xdr:rowOff>
        </xdr:from>
        <xdr:to>
          <xdr:col>0</xdr:col>
          <xdr:colOff>640080</xdr:colOff>
          <xdr:row>822</xdr:row>
          <xdr:rowOff>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C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822</xdr:row>
          <xdr:rowOff>0</xdr:rowOff>
        </xdr:from>
        <xdr:to>
          <xdr:col>0</xdr:col>
          <xdr:colOff>640080</xdr:colOff>
          <xdr:row>822</xdr:row>
          <xdr:rowOff>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C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822</xdr:row>
          <xdr:rowOff>0</xdr:rowOff>
        </xdr:from>
        <xdr:to>
          <xdr:col>0</xdr:col>
          <xdr:colOff>640080</xdr:colOff>
          <xdr:row>822</xdr:row>
          <xdr:rowOff>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C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822</xdr:row>
          <xdr:rowOff>0</xdr:rowOff>
        </xdr:from>
        <xdr:to>
          <xdr:col>0</xdr:col>
          <xdr:colOff>640080</xdr:colOff>
          <xdr:row>822</xdr:row>
          <xdr:rowOff>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C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860</xdr:row>
          <xdr:rowOff>0</xdr:rowOff>
        </xdr:from>
        <xdr:to>
          <xdr:col>0</xdr:col>
          <xdr:colOff>640080</xdr:colOff>
          <xdr:row>860</xdr:row>
          <xdr:rowOff>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C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860</xdr:row>
          <xdr:rowOff>0</xdr:rowOff>
        </xdr:from>
        <xdr:to>
          <xdr:col>0</xdr:col>
          <xdr:colOff>640080</xdr:colOff>
          <xdr:row>860</xdr:row>
          <xdr:rowOff>0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C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860</xdr:row>
          <xdr:rowOff>0</xdr:rowOff>
        </xdr:from>
        <xdr:to>
          <xdr:col>0</xdr:col>
          <xdr:colOff>640080</xdr:colOff>
          <xdr:row>860</xdr:row>
          <xdr:rowOff>0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C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860</xdr:row>
          <xdr:rowOff>0</xdr:rowOff>
        </xdr:from>
        <xdr:to>
          <xdr:col>0</xdr:col>
          <xdr:colOff>640080</xdr:colOff>
          <xdr:row>860</xdr:row>
          <xdr:rowOff>0</xdr:rowOff>
        </xdr:to>
        <xdr:sp macro="" textlink="">
          <xdr:nvSpPr>
            <xdr:cNvPr id="3094" name="Object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C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1153</xdr:row>
          <xdr:rowOff>0</xdr:rowOff>
        </xdr:from>
        <xdr:to>
          <xdr:col>0</xdr:col>
          <xdr:colOff>640080</xdr:colOff>
          <xdr:row>1153</xdr:row>
          <xdr:rowOff>0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C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1153</xdr:row>
          <xdr:rowOff>0</xdr:rowOff>
        </xdr:from>
        <xdr:to>
          <xdr:col>0</xdr:col>
          <xdr:colOff>640080</xdr:colOff>
          <xdr:row>1153</xdr:row>
          <xdr:rowOff>0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C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1153</xdr:row>
          <xdr:rowOff>0</xdr:rowOff>
        </xdr:from>
        <xdr:to>
          <xdr:col>0</xdr:col>
          <xdr:colOff>640080</xdr:colOff>
          <xdr:row>1153</xdr:row>
          <xdr:rowOff>0</xdr:rowOff>
        </xdr:to>
        <xdr:sp macro="" textlink="">
          <xdr:nvSpPr>
            <xdr:cNvPr id="3097" name="Object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C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1153</xdr:row>
          <xdr:rowOff>0</xdr:rowOff>
        </xdr:from>
        <xdr:to>
          <xdr:col>0</xdr:col>
          <xdr:colOff>640080</xdr:colOff>
          <xdr:row>1153</xdr:row>
          <xdr:rowOff>0</xdr:rowOff>
        </xdr:to>
        <xdr:sp macro="" textlink="">
          <xdr:nvSpPr>
            <xdr:cNvPr id="3098" name="Object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C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368194</xdr:colOff>
      <xdr:row>1372</xdr:row>
      <xdr:rowOff>102453</xdr:rowOff>
    </xdr:from>
    <xdr:to>
      <xdr:col>26</xdr:col>
      <xdr:colOff>136518</xdr:colOff>
      <xdr:row>1390</xdr:row>
      <xdr:rowOff>96519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1794" y="16431024"/>
          <a:ext cx="7344781" cy="35612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1176</xdr:row>
          <xdr:rowOff>0</xdr:rowOff>
        </xdr:from>
        <xdr:to>
          <xdr:col>0</xdr:col>
          <xdr:colOff>640080</xdr:colOff>
          <xdr:row>1176</xdr:row>
          <xdr:rowOff>0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C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1176</xdr:row>
          <xdr:rowOff>0</xdr:rowOff>
        </xdr:from>
        <xdr:to>
          <xdr:col>0</xdr:col>
          <xdr:colOff>640080</xdr:colOff>
          <xdr:row>1176</xdr:row>
          <xdr:rowOff>0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C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1176</xdr:row>
          <xdr:rowOff>0</xdr:rowOff>
        </xdr:from>
        <xdr:to>
          <xdr:col>0</xdr:col>
          <xdr:colOff>640080</xdr:colOff>
          <xdr:row>1176</xdr:row>
          <xdr:rowOff>0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C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1176</xdr:row>
          <xdr:rowOff>0</xdr:rowOff>
        </xdr:from>
        <xdr:to>
          <xdr:col>0</xdr:col>
          <xdr:colOff>640080</xdr:colOff>
          <xdr:row>1176</xdr:row>
          <xdr:rowOff>0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C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841</xdr:row>
          <xdr:rowOff>0</xdr:rowOff>
        </xdr:from>
        <xdr:to>
          <xdr:col>0</xdr:col>
          <xdr:colOff>640080</xdr:colOff>
          <xdr:row>841</xdr:row>
          <xdr:rowOff>0</xdr:rowOff>
        </xdr:to>
        <xdr:sp macro="" textlink="">
          <xdr:nvSpPr>
            <xdr:cNvPr id="3103" name="Object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C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841</xdr:row>
          <xdr:rowOff>0</xdr:rowOff>
        </xdr:from>
        <xdr:to>
          <xdr:col>0</xdr:col>
          <xdr:colOff>640080</xdr:colOff>
          <xdr:row>841</xdr:row>
          <xdr:rowOff>0</xdr:rowOff>
        </xdr:to>
        <xdr:sp macro="" textlink="">
          <xdr:nvSpPr>
            <xdr:cNvPr id="3104" name="Object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C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841</xdr:row>
          <xdr:rowOff>0</xdr:rowOff>
        </xdr:from>
        <xdr:to>
          <xdr:col>0</xdr:col>
          <xdr:colOff>640080</xdr:colOff>
          <xdr:row>841</xdr:row>
          <xdr:rowOff>0</xdr:rowOff>
        </xdr:to>
        <xdr:sp macro="" textlink="">
          <xdr:nvSpPr>
            <xdr:cNvPr id="3105" name="Object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C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640080</xdr:colOff>
          <xdr:row>841</xdr:row>
          <xdr:rowOff>0</xdr:rowOff>
        </xdr:from>
        <xdr:to>
          <xdr:col>0</xdr:col>
          <xdr:colOff>640080</xdr:colOff>
          <xdr:row>841</xdr:row>
          <xdr:rowOff>0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C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359833</xdr:colOff>
      <xdr:row>696</xdr:row>
      <xdr:rowOff>127000</xdr:rowOff>
    </xdr:from>
    <xdr:to>
      <xdr:col>25</xdr:col>
      <xdr:colOff>552318</xdr:colOff>
      <xdr:row>723</xdr:row>
      <xdr:rowOff>116840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8444" y="11952111"/>
          <a:ext cx="10020874" cy="5513967"/>
        </a:xfrm>
        <a:prstGeom prst="rect">
          <a:avLst/>
        </a:prstGeom>
      </xdr:spPr>
    </xdr:pic>
    <xdr:clientData/>
  </xdr:twoCellAnchor>
  <xdr:twoCellAnchor editAs="oneCell">
    <xdr:from>
      <xdr:col>9</xdr:col>
      <xdr:colOff>1179688</xdr:colOff>
      <xdr:row>678</xdr:row>
      <xdr:rowOff>211666</xdr:rowOff>
    </xdr:from>
    <xdr:to>
      <xdr:col>22</xdr:col>
      <xdr:colOff>538439</xdr:colOff>
      <xdr:row>703</xdr:row>
      <xdr:rowOff>161448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0355" y="12036777"/>
          <a:ext cx="9427028" cy="50990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411480</xdr:colOff>
      <xdr:row>96</xdr:row>
      <xdr:rowOff>76200</xdr:rowOff>
    </xdr:from>
    <xdr:to>
      <xdr:col>25</xdr:col>
      <xdr:colOff>435000</xdr:colOff>
      <xdr:row>123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55980" y="17297400"/>
          <a:ext cx="7613040" cy="3566469"/>
        </a:xfrm>
        <a:prstGeom prst="rect">
          <a:avLst/>
        </a:prstGeom>
      </xdr:spPr>
    </xdr:pic>
    <xdr:clientData/>
  </xdr:twoCellAnchor>
  <xdr:twoCellAnchor editAs="oneCell">
    <xdr:from>
      <xdr:col>7</xdr:col>
      <xdr:colOff>256540</xdr:colOff>
      <xdr:row>126</xdr:row>
      <xdr:rowOff>144780</xdr:rowOff>
    </xdr:from>
    <xdr:to>
      <xdr:col>13</xdr:col>
      <xdr:colOff>22407</xdr:colOff>
      <xdr:row>150</xdr:row>
      <xdr:rowOff>161835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40" y="23169880"/>
          <a:ext cx="6338117" cy="4013745"/>
        </a:xfrm>
        <a:prstGeom prst="rect">
          <a:avLst/>
        </a:prstGeom>
      </xdr:spPr>
    </xdr:pic>
    <xdr:clientData/>
  </xdr:twoCellAnchor>
  <xdr:twoCellAnchor editAs="oneCell">
    <xdr:from>
      <xdr:col>6</xdr:col>
      <xdr:colOff>576580</xdr:colOff>
      <xdr:row>92</xdr:row>
      <xdr:rowOff>12700</xdr:rowOff>
    </xdr:from>
    <xdr:to>
      <xdr:col>13</xdr:col>
      <xdr:colOff>267589</xdr:colOff>
      <xdr:row>115</xdr:row>
      <xdr:rowOff>165601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3380" y="17919700"/>
          <a:ext cx="6923659" cy="3983221"/>
        </a:xfrm>
        <a:prstGeom prst="rect">
          <a:avLst/>
        </a:prstGeom>
      </xdr:spPr>
    </xdr:pic>
    <xdr:clientData/>
  </xdr:twoCellAnchor>
  <xdr:twoCellAnchor editAs="oneCell">
    <xdr:from>
      <xdr:col>6</xdr:col>
      <xdr:colOff>544830</xdr:colOff>
      <xdr:row>25</xdr:row>
      <xdr:rowOff>57150</xdr:rowOff>
    </xdr:from>
    <xdr:to>
      <xdr:col>12</xdr:col>
      <xdr:colOff>333285</xdr:colOff>
      <xdr:row>48</xdr:row>
      <xdr:rowOff>148932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1630" y="5149850"/>
          <a:ext cx="6379755" cy="39221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627</xdr:colOff>
      <xdr:row>43</xdr:row>
      <xdr:rowOff>32102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627" cy="6858352"/>
        </a:xfrm>
        <a:prstGeom prst="rect">
          <a:avLst/>
        </a:prstGeom>
      </xdr:spPr>
    </xdr:pic>
    <xdr:clientData/>
  </xdr:twoCellAnchor>
  <xdr:twoCellAnchor editAs="oneCell">
    <xdr:from>
      <xdr:col>7</xdr:col>
      <xdr:colOff>502920</xdr:colOff>
      <xdr:row>43</xdr:row>
      <xdr:rowOff>106680</xdr:rowOff>
    </xdr:from>
    <xdr:to>
      <xdr:col>26</xdr:col>
      <xdr:colOff>481062</xdr:colOff>
      <xdr:row>70</xdr:row>
      <xdr:rowOff>46107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70120" y="7315200"/>
          <a:ext cx="11560542" cy="44657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EE-Pd%20Cermin-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KEGIATAN\G%20A%20M%20B%20A%20R\BM%20DAK%2009\BQ%20JLN.%20Guhang-Cotmane%20awal\1-BOQ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AB%20Tebing%20Kr.%20Kluet%20I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DATA%20APBA%202008/MASTER%20DATA%20LELANG%202008/MASTER%20-%20OE%202008%20(Blm%20Pasti)/OE-ECR3%20New%20tgl%2028Nop/3-DIV7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POLRES%20BELAWAN/LENNY/KUALA%20NAMU/Paket%206B/Folder%20Work/happy@cc.com/My%20Documents/www.data_ambo.com/eskalasi/Price%20Adjustment/Summ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POLRES%20BELAWAN\LENNY\KUALA%20NAMU\Paket%206B\Folder%20Work\happy@cc.com\My%20Documents\www.data_ambo.com\eskalasi\Price%20Adjustment\Summar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RAYHAN%20DATA/DINAS%20KELAUTAN%20DAN%20PERIKANAN/LHOK%20BOM-%20CALANG/pen-cole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TA%20-%202003/D%20I%20K%20P%20O%20R%20A/LAN.%20PEMB.%20SMU%20UGL%20T.TUAN/RAB-%20SMU%20UNGGUL%20TTN/RAB%20ASRAMA%2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EDWIN\JOB\Dinas%20Pertanian\UPTD\RAB\Baru\Job\Pabrik%20Jahe%20(+)\RAB%20Jahe%20Setti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EDY/GEDUNG%20GSG%20TAHAP%20VII/SKEDUL/happy@cc.com/My%20Documents/www.data_ambo.com/eskalasi/MCF-2/Peride%20I%20sd%20Juli%202001/ALMF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MBUATAN%20BOX%20CULVERT/(Data)/Data%20Satker%20PLP/3%20R%20-%20KAB.%20PIDIE%20(paket%202)/OE%20(RAB)/Bank%20Qi/Rizki%20Perdana/Penawaran%20&amp;%20lamp%20GAYOTAMA%20(G%20BERBANG-PAMEU)%20BRR-3-5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EDY\GEDUNG%20GSG%20TAHAP%20VII\SKEDUL\happy@cc.com\My%20Documents\www.data_ambo.com\eskalasi\MCF-2\Peride%20I%20sd%20Juli%202001\ALMFE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SUFFIL/Proyek%20(Rehab)/SMU(MAN)/RAB-SMUN%201%20Samadu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NDOPO%202003/GUDANG/RAB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My%20Documents/PROGRAM%202004/Pem-Um%20AS/Pendopo%20Bupati/RAB%20GUDANG%20PENDOP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K%20PORA/SMU%20UNGGUL/LAB%20SMU%20UNGGUL/RAB%20LABORATORIUM%20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TA%20-%202003/D%20I%20K%20P%20O%20R%20A/LAN.%20PEMB.%20SMU%20UGL%20T.TUAN/RAB-%20SMU%20UNGGUL%20TTN/RAB-%20LAB-IPA%20(EDIT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Darlis%20ST/RAB%20DISPORA/RAB%20DRAINASE%20SMU%20UNGGUL-2%20(Revisi)/RAB%20-%20DRAINASE%20SMU%20UNGGUL%20(PENAWAR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TA%20-%202003/D%20I%20K%20P%20O%20R%20A/LAN.%20PEMB.%20SMU%20UGL%20T.TUAN/RAB-%20JLN,%20TALUD,%20JEMB/RAB-%20JEMBATAN%20SMU%20UG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Dokumen%20KUA/Poelkerja/RAB%20Coll/RAB%20GO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CEK%20LEEEEEM/FORMAT%20RAB%20PNPM-PPK%20SEUNAGAN%202007/A.PAYA%20UNDAN/Poelkerja/RAB%20Coll/RAB%20GO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Gajah%20-%20Dogang%20Segmen%20I%20minta%20TOLO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CEK%20LEEEEEM\FORMAT%20RAB%20PNPM-PPK%20SEUNAGAN%202007\A.PAYA%20UNDAN\Poelkerja\RAB%20Coll\RAB%20GO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Data%20Penawaran%20cop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BB/Doc/RAB%20PRO/OE%20Ni/OE%20SK'%2004/Rab%20Syiah%20Kuala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CEK%20LEEEEEM/FORMAT%20RAB%20PNPM-PPK%20SEUNAGAN%202007/A.PAYA%20UNDAN/MOLANA/Donyaaa/OWEN/R%20M%2006/cv%20TIGA%20SAUDARApakai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CEK%20LEEEEEM\FORMAT%20RAB%20PNPM-PPK%20SEUNAGAN%202007\A.PAYA%20UNDAN\MOLANA\Donyaaa\OWEN\R%20M%2006\cv%20TIGA%20SAUDARApaka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S%20E%20T%20D%20A%20K%20A%20B/BAGIAN%20UMUM/KANTOR%20CAMAT%20(ASEL)/2%200%200%204/Rencana/RAB%20KTR%20CMT%204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BARU%202001-2002/RAB%20DIP%202002/Krueng%20Tamiang%20alt.%20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E\OE%20PUTARAN%20PERTAMA\Aceh%20Barat\MY%20FILES\Wilayah%20IV\Boss\HPS%20LABUHAN%20HAJ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EDY/GEDUNG%20GSG%20TAHAP%20VII/SKEDUL/THOMS@DM%20TEK.COM/COST%20ADJUSTMENT/OK%20MFC-2/UP10%20ola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EDY\GEDUNG%20GSG%20TAHAP%20VII\SKEDUL\THOMS@DM%20TEK.COM\COST%20ADJUSTMENT\OK%20MFC-2\UP10%20ola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Abang/Luar/Serba-serbi%20luar/Mansur%20konsultan/RAB%20PERKIM%20B.%20ACEH/RKS%20PEMB.%20K.%20PERKIM/Penawaran%20Tanggul%20B'Aidi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OYEK/Ancol/Opname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B%20MCK%208%20KAMAR%20LS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B%20RUMAH%20LS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CEK%20LEEEEEM/FORMAT%20RAB%20PNPM-PPK%20SEUNAGAN%202007/A.PAYA%20UNDAN/Poelkerja/RAB%20Coll/Rab%20UG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CEK%20LEEEEEM\FORMAT%20RAB%20PNPM-PPK%20SEUNAGAN%202007\A.PAYA%20UNDAN\Poelkerja\RAB%20Coll\Rab%20UG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EDDY-ASTEK/OE%20BRR%20PB%20ACEH%20BARAT%202007/OE%20KR.%20MEUREB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PAKET%206%20-%20ULEE%20LHEUE%203750-8200/3-DIV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3-DIV7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2000\DURP\Rambong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FC9FAA1\Jalan%20masuk%20lap%20tenis%20baro%20ray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inas%20Pendidikan/BAHAN/NEW/RAB%20RUMAH%20DINAS%20BARU/KEGIATAN/G%20A%20M%20B%20A%20R/BM%20DAK%2009/BQ%20JLN.%20Guhang-Cotmane%20awal/1-BOQ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AB%20RUMAH%20DINAS%20BARU\CEK%20LEEEEEM\FORMAT%20RAB%20PNPM-PPK%20SEUNAGAN%202007\A.PAYA%20UNDAN\My%20Documents\dayah\RAB%20DAYAH%20OKE\JOB%202003\My%20Documents\terminal%20grong-grong\Porda%20Revisi\PORDA%20(Baro%20Raya)\Jalan%20masuk%20lap%20tenis%20baro%20raya.xls?8126F94E" TargetMode="External"/><Relationship Id="rId1" Type="http://schemas.openxmlformats.org/officeDocument/2006/relationships/externalLinkPath" Target="file:///\\8126F94E\Jalan%20masuk%20lap%20tenis%20baro%20ray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EDY/GEDUNG%20GSG%20TAHAP%20VII/SKEDUL/Folder%20Work/happy@cc.com/My%20Documents/www.data_ambo.com/eskalasi/Price%20Adjustment/Summary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EDY\GEDUNG%20GSG%20TAHAP%20VII\SKEDUL\Folder%20Work\happy@cc.com\My%20Documents\www.data_ambo.com\eskalasi\Price%20Adjustment\Summar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tona\Langkat\Desain\Jembatan\Wil.%20Langkat%20Hilir\Kec.%20Secanggang\Desa%20Sei%20Ular\EE-Desa%20sei%20ula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My%20Documents/PROYEK%20P&amp;P/Adm%20Proyek%20P&amp;P/PROG.%20ANALISA/ANALISA%20WI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My%20Documents\PROYEK%20P&amp;P\Adm%20Proyek%20P&amp;P\PROG.%20ANALISA\ANALISA%20WI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S%20U%20F%20F%20I%20L/TA%20-%202002/ANALISA%202002/ANALISA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cipta%20karya/RASK%20GEDUNG%202010/PROYEK%20(CAIL)/DIKNAS%202007-%20REVISI%20FINAL%20!!/CINCAI-CINCAI/Pertanggal%2026-12-07%20Final%20OK%20!/SIBAGINDAR/Puramot%20Jaya%20-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P3DT/P3DT2000/Master%20O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P3DT\P3DT2000\Master%20O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My%20Documents/Tahun%202004/Dikpora%20AS/SEKOLAH%20BARU/SD%20UNIT%20BARU/RKB%20SD%204%20LOK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ANT/DINKES%20LANGKAT/EE/DESA%20DOGANG%20KEC.GEBANG%20PASIRAN/rab%20dan%20analisa/My%20Documents/DIK%20PORA/SMU%20UNGGUL/LAB%20SMU%20UNGGUL/RAB%20LABORATORIUM%20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EDY/GEDUNG%20GSG%20TAHAP%20VII/SKEDUL/Documents%20and%20Settings/Indra%20007/My%20Documents/UP10%20olah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EDY\GEDUNG%20GSG%20TAHAP%20VII\SKEDUL\Documents%20and%20Settings\Indra%20007\My%20Documents\UP10%20olah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PAKET%206%20-%20ULEE%20LHEUE%203750-8200/3-DIV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inas%20Pendidikan/BAHAN/NEW/RAB%20RUMAH%20DINAS%20BARU/CEK%20LEEEEEM/FORMAT%20RAB%20PNPM-PPK%20SEUNAGAN%202007/A.PAYA%20UNDAN/MOLANA/Donyaaa/OWEN/R%20M%2006/cv%20TIGA%20SAUDARApaka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PEMBUATAN%20BOX%20CULVERT/rab/RAB%20LAmpulo/CAIXA%20&amp;%20HUSNI/CONSULTANT%20FILE/ANALISA%20STANDAR%20BINA%20MARGA/BINA%20MARGA%20FILE/OE-EE/6-AGG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COST%20ADJUSTMENT/COST%20ADJUSTMENT%20FOR%20APRIL%2021,%202004%20UP%20TO%20OCTOBER%2020,20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COST%20ADJUSTMENT\COST%20ADJUSTMENT%20FOR%20APRIL%2021,%202004%20UP%20TO%20OCTOBER%2020,200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EDWIN\JOB\Dinas%20Pertanian\UPTD\RAB\Baru\Documents\Job\FHA\RAB%20LABUHAN%20HAJ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Embung%20Sianjo-Anjo%20Tahap%20-%20V/Negosiasi/Negosiasi%20ES%20Thp-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V.%20CAHAYA%20INDAH%20PRATAMA/Pembuatan%20Jalan%20Lambheu/CV.%20CAHAYA%20INDAH%20PRATAM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POLRES%20BELAWAN/BLPIDIE/PNPM/DOCUME~1/COM02/LOCALS~1/Temp/TYPE%20250/R%20A%20B%20TYPE%20250%20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B%20RUMAH%20DINAS%20BARU\POLRES%20BELAWAN\BLPIDIE\PNPM\DOCUME~1\COM02\LOCALS~1\Temp\TYPE%20250\R%20A%20B%20TYPE%20250%20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PROJECT%202024\2.%20DISPORA%20-%20PERENC%20GSG\RAB%20GSG\RAB%20PERENCANAAN%20GSG%20-%2006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.%20PROJECT%202023\13.%20PERENCANAAN%20LAPAS%20.%202023\3.%20LAPAS%20PANCUR%20BATU\RAB%20-%20PANCUR%20BATU%20-%20FINAL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PROJECT%202023\13.%20PERENCANAAN%20LAPAS%20.%202023\2.%20LAPAS%20BINJAI\_RAB\RAB%20-%20LP%20BINJAI%20-%2030%20FINAL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PROJECT%202021\04.%20PT.%20DHIRGA%20SURAYA\_RAB%20FOOD%20STATION%20PT.DHIRGA%20SURYA\RAB%20PT.%20DHIRGA%20SURYA%20-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C\PRICE%20ADJUSTMENT%20MFC-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GEDUNG%20BOWLING/RAB%20RUMAH%20DINAS%20BARU/KEGIATAN/G%20A%20M%20B%20A%20R/BM%20DAK%2009/BQ%20JLN.%20Guhang-Cotmane%20awal/1-BOQ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Rekap Biaya"/>
      <sheetName val="B&amp;Q"/>
      <sheetName val="RAB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Lamp_Upah&amp;Biaya"/>
      <sheetName val="Lamp_ABiaya"/>
      <sheetName val="Sket_Jrk_Angkut"/>
      <sheetName val="Rekap_Biaya1"/>
      <sheetName val="Lamp_Upah&amp;Biaya1"/>
      <sheetName val="Lamp_ABiaya1"/>
      <sheetName val="Sket_Jrk_Angkut1"/>
      <sheetName val="Rekap_Biaya2"/>
      <sheetName val="Lamp_Upah&amp;Biaya2"/>
      <sheetName val="Lamp_ABiaya2"/>
      <sheetName val="Sket_Jrk_Angkut2"/>
      <sheetName val="Rekap_Biaya3"/>
      <sheetName val="Lamp_Upah&amp;Biaya3"/>
      <sheetName val="Lamp_ABiaya3"/>
      <sheetName val="Sket_Jrk_Angku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H15">
            <v>5</v>
          </cell>
        </row>
        <row r="16">
          <cell r="H16">
            <v>6</v>
          </cell>
        </row>
        <row r="17">
          <cell r="H17">
            <v>7</v>
          </cell>
        </row>
        <row r="18">
          <cell r="H18">
            <v>8</v>
          </cell>
        </row>
        <row r="19">
          <cell r="H19">
            <v>9</v>
          </cell>
        </row>
        <row r="20">
          <cell r="H20">
            <v>10</v>
          </cell>
        </row>
        <row r="21">
          <cell r="H21">
            <v>11</v>
          </cell>
        </row>
        <row r="22">
          <cell r="H22">
            <v>12</v>
          </cell>
        </row>
        <row r="23">
          <cell r="H23">
            <v>13</v>
          </cell>
        </row>
        <row r="24">
          <cell r="H24">
            <v>14</v>
          </cell>
        </row>
        <row r="42">
          <cell r="H42">
            <v>65000</v>
          </cell>
        </row>
      </sheetData>
      <sheetData sheetId="8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5">
          <cell r="C55">
            <v>456659</v>
          </cell>
        </row>
        <row r="56">
          <cell r="C56">
            <v>24000</v>
          </cell>
        </row>
        <row r="61">
          <cell r="C61">
            <v>8900</v>
          </cell>
        </row>
        <row r="62">
          <cell r="C62">
            <v>29000</v>
          </cell>
        </row>
        <row r="68">
          <cell r="C68">
            <v>7200</v>
          </cell>
        </row>
        <row r="83">
          <cell r="C83">
            <v>3679</v>
          </cell>
        </row>
        <row r="90">
          <cell r="C90">
            <v>990</v>
          </cell>
        </row>
        <row r="100">
          <cell r="C100">
            <v>2200000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Alat"/>
      <sheetName val="Sheet1"/>
      <sheetName val="Harga &amp; Bahan "/>
      <sheetName val="An. Alat"/>
      <sheetName val="NP"/>
      <sheetName val="Analisa"/>
      <sheetName val="Rab"/>
      <sheetName val="rEKAP"/>
      <sheetName val="Sekedul pak lah"/>
      <sheetName val="Pak Lah Anas tek"/>
      <sheetName val="Anas Tek"/>
      <sheetName val="jadwal"/>
      <sheetName val="Anal.Teknik"/>
    </sheetNames>
    <sheetDataSet>
      <sheetData sheetId="0"/>
      <sheetData sheetId="1"/>
      <sheetData sheetId="2"/>
      <sheetData sheetId="3">
        <row r="1">
          <cell r="A1" t="str">
            <v>URAIAN ANALISA ALAT</v>
          </cell>
        </row>
        <row r="4">
          <cell r="A4" t="str">
            <v>No.</v>
          </cell>
          <cell r="C4" t="str">
            <v>U R A I A N</v>
          </cell>
          <cell r="G4" t="str">
            <v>KODE</v>
          </cell>
          <cell r="H4" t="str">
            <v>KOEF.</v>
          </cell>
          <cell r="I4" t="str">
            <v>SATUAN</v>
          </cell>
          <cell r="J4" t="str">
            <v>KET.</v>
          </cell>
        </row>
        <row r="7">
          <cell r="A7" t="str">
            <v>A.</v>
          </cell>
          <cell r="C7" t="str">
            <v>URAIAN PERALATAN</v>
          </cell>
        </row>
        <row r="8">
          <cell r="A8" t="str">
            <v xml:space="preserve">       1.</v>
          </cell>
          <cell r="C8" t="str">
            <v>Jenis Peralatan</v>
          </cell>
          <cell r="G8" t="str">
            <v>CONCRETE MIXER 0.3-0.6 M3</v>
          </cell>
          <cell r="J8" t="str">
            <v>E06</v>
          </cell>
        </row>
        <row r="9">
          <cell r="A9" t="str">
            <v xml:space="preserve">       2.</v>
          </cell>
          <cell r="C9" t="str">
            <v>Tenaga</v>
          </cell>
          <cell r="G9" t="str">
            <v>Pw</v>
          </cell>
          <cell r="H9">
            <v>15</v>
          </cell>
          <cell r="I9" t="str">
            <v>HP</v>
          </cell>
        </row>
        <row r="10">
          <cell r="A10" t="str">
            <v xml:space="preserve">       3.</v>
          </cell>
          <cell r="C10" t="str">
            <v>Kapasitas</v>
          </cell>
          <cell r="G10" t="str">
            <v>Cp</v>
          </cell>
          <cell r="H10">
            <v>500</v>
          </cell>
          <cell r="I10" t="str">
            <v>Liter</v>
          </cell>
        </row>
        <row r="11">
          <cell r="A11" t="str">
            <v xml:space="preserve">       4.</v>
          </cell>
          <cell r="C11" t="str">
            <v>Alat Baru                :</v>
          </cell>
          <cell r="D11" t="str">
            <v xml:space="preserve">  a.  Umur Ekonomis</v>
          </cell>
          <cell r="G11" t="str">
            <v>A</v>
          </cell>
          <cell r="H11">
            <v>4</v>
          </cell>
          <cell r="I11" t="str">
            <v>Tahun</v>
          </cell>
        </row>
        <row r="12">
          <cell r="D12" t="str">
            <v xml:space="preserve">  b.  Jam Kerja Dalam 1 Tahun</v>
          </cell>
          <cell r="G12" t="str">
            <v>W</v>
          </cell>
          <cell r="H12">
            <v>2000</v>
          </cell>
          <cell r="I12" t="str">
            <v>Jam</v>
          </cell>
        </row>
        <row r="13">
          <cell r="D13" t="str">
            <v xml:space="preserve">  c.  Harga Alat</v>
          </cell>
          <cell r="G13" t="str">
            <v>B</v>
          </cell>
          <cell r="H13">
            <v>36000000</v>
          </cell>
          <cell r="I13" t="str">
            <v>Rupiah</v>
          </cell>
        </row>
        <row r="14">
          <cell r="A14" t="str">
            <v xml:space="preserve">       5.</v>
          </cell>
          <cell r="C14" t="str">
            <v>Alat Yang Dipakai  :</v>
          </cell>
          <cell r="D14" t="str">
            <v xml:space="preserve">  a.  Umur Ekonomis</v>
          </cell>
          <cell r="G14" t="str">
            <v>A'</v>
          </cell>
          <cell r="H14">
            <v>4</v>
          </cell>
          <cell r="I14" t="str">
            <v>Tahun</v>
          </cell>
          <cell r="J14" t="str">
            <v xml:space="preserve"> Alat Baru</v>
          </cell>
        </row>
        <row r="15">
          <cell r="D15" t="str">
            <v xml:space="preserve">  b.  Jam Kerja Dalam 1 Tahun </v>
          </cell>
          <cell r="G15" t="str">
            <v>W'</v>
          </cell>
          <cell r="H15">
            <v>2000</v>
          </cell>
          <cell r="I15" t="str">
            <v>Jam</v>
          </cell>
          <cell r="J15" t="str">
            <v xml:space="preserve"> Alat Baru</v>
          </cell>
        </row>
        <row r="16">
          <cell r="D16" t="str">
            <v xml:space="preserve">  c.  Harga Alat   (*)</v>
          </cell>
          <cell r="G16" t="str">
            <v>B'</v>
          </cell>
          <cell r="H16">
            <v>36000000</v>
          </cell>
          <cell r="I16" t="str">
            <v>Rupiah</v>
          </cell>
          <cell r="J16" t="str">
            <v xml:space="preserve"> Alat Baru</v>
          </cell>
        </row>
        <row r="18">
          <cell r="A18" t="str">
            <v>B.</v>
          </cell>
          <cell r="C18" t="str">
            <v>BIAYA PASTI PER JAM KERJA</v>
          </cell>
        </row>
        <row r="19">
          <cell r="A19" t="str">
            <v xml:space="preserve">       1.</v>
          </cell>
          <cell r="C19" t="str">
            <v>Nilai Sisa Alat</v>
          </cell>
          <cell r="D19" t="str">
            <v>=  10 % x B</v>
          </cell>
          <cell r="G19" t="str">
            <v>C</v>
          </cell>
          <cell r="H19">
            <v>3600000</v>
          </cell>
          <cell r="I19" t="str">
            <v>Rupiah</v>
          </cell>
        </row>
        <row r="21">
          <cell r="A21" t="str">
            <v xml:space="preserve">       2.</v>
          </cell>
          <cell r="C21" t="str">
            <v>Faktor Angsuran Modal    =</v>
          </cell>
          <cell r="E21" t="str">
            <v>i x (1 + i)^A'</v>
          </cell>
          <cell r="G21" t="str">
            <v>D</v>
          </cell>
          <cell r="H21">
            <v>0.38628912071535026</v>
          </cell>
          <cell r="I21" t="str">
            <v>-</v>
          </cell>
        </row>
        <row r="22">
          <cell r="E22" t="str">
            <v>(1 + i)^A' - 1</v>
          </cell>
        </row>
        <row r="23">
          <cell r="A23" t="str">
            <v xml:space="preserve">       3.</v>
          </cell>
          <cell r="C23" t="str">
            <v>Biaya Pasti per Jam  :</v>
          </cell>
        </row>
        <row r="24">
          <cell r="C24" t="str">
            <v>a.  Biaya Pengembalian Modal  =</v>
          </cell>
          <cell r="E24" t="str">
            <v>( B' - C ) x D</v>
          </cell>
          <cell r="G24" t="str">
            <v>E</v>
          </cell>
          <cell r="H24">
            <v>6257.8837555886739</v>
          </cell>
          <cell r="I24" t="str">
            <v>Rupiah</v>
          </cell>
        </row>
        <row r="25">
          <cell r="E25" t="str">
            <v>W'</v>
          </cell>
        </row>
        <row r="27">
          <cell r="C27" t="str">
            <v>b.  Asuransi, dll =</v>
          </cell>
          <cell r="D27">
            <v>2E-3</v>
          </cell>
          <cell r="E27" t="str">
            <v xml:space="preserve">  x   B'</v>
          </cell>
          <cell r="G27" t="str">
            <v>F</v>
          </cell>
          <cell r="H27">
            <v>36</v>
          </cell>
          <cell r="I27" t="str">
            <v>Rupiah</v>
          </cell>
        </row>
        <row r="28">
          <cell r="E28" t="str">
            <v>W'</v>
          </cell>
        </row>
        <row r="30">
          <cell r="C30" t="str">
            <v>Biaya Pasti per Jam             =</v>
          </cell>
          <cell r="E30" t="str">
            <v>( E + F )</v>
          </cell>
          <cell r="G30" t="str">
            <v>G</v>
          </cell>
          <cell r="H30">
            <v>6293.8837555886739</v>
          </cell>
          <cell r="I30" t="str">
            <v>Rupiah</v>
          </cell>
        </row>
        <row r="32">
          <cell r="A32" t="str">
            <v>C.</v>
          </cell>
          <cell r="C32" t="str">
            <v>BIAYA OPERASI PER JAM KERJA</v>
          </cell>
        </row>
        <row r="34">
          <cell r="A34" t="str">
            <v xml:space="preserve">       1.</v>
          </cell>
          <cell r="C34" t="str">
            <v xml:space="preserve">Bahan Bakar  =  (0.125-0.175 Ltr/HP/Jam)   x Pw x Ms </v>
          </cell>
          <cell r="G34" t="str">
            <v>H</v>
          </cell>
          <cell r="H34">
            <v>7781.25</v>
          </cell>
          <cell r="I34" t="str">
            <v>Rupiah</v>
          </cell>
        </row>
        <row r="36">
          <cell r="A36" t="str">
            <v xml:space="preserve">       2.</v>
          </cell>
          <cell r="C36" t="str">
            <v>Pelumas         =  (0.01-0.02 Ltr/HP/Jam) x Pw x Mp</v>
          </cell>
          <cell r="G36" t="str">
            <v>I</v>
          </cell>
          <cell r="H36">
            <v>4500</v>
          </cell>
          <cell r="I36" t="str">
            <v>Rupiah</v>
          </cell>
        </row>
        <row r="38">
          <cell r="A38" t="str">
            <v xml:space="preserve">       3.</v>
          </cell>
          <cell r="C38" t="str">
            <v>Perawatan dan</v>
          </cell>
          <cell r="D38" t="str">
            <v>(12,5 % - 17,5 %)  x  B'</v>
          </cell>
          <cell r="G38" t="str">
            <v>K</v>
          </cell>
          <cell r="H38">
            <v>2250</v>
          </cell>
          <cell r="I38" t="str">
            <v>Rupiah</v>
          </cell>
        </row>
        <row r="39">
          <cell r="C39" t="str">
            <v xml:space="preserve">        perbaikan    =</v>
          </cell>
          <cell r="D39" t="str">
            <v>W'</v>
          </cell>
        </row>
        <row r="41">
          <cell r="A41" t="str">
            <v xml:space="preserve">       4.</v>
          </cell>
          <cell r="C41" t="str">
            <v>Operator</v>
          </cell>
          <cell r="D41" t="str">
            <v>=   ( 1  Orang / Jam )  x  U1</v>
          </cell>
          <cell r="G41" t="str">
            <v>L</v>
          </cell>
          <cell r="H41">
            <v>10714.285714285714</v>
          </cell>
          <cell r="I41" t="str">
            <v>Rupiah</v>
          </cell>
        </row>
        <row r="42">
          <cell r="A42" t="str">
            <v xml:space="preserve">       5.</v>
          </cell>
          <cell r="C42" t="str">
            <v>Pembantu Operator</v>
          </cell>
          <cell r="D42" t="str">
            <v>=   ( 1  Orang / Jam )  x  U2</v>
          </cell>
          <cell r="G42" t="str">
            <v>M</v>
          </cell>
          <cell r="H42">
            <v>4000</v>
          </cell>
          <cell r="I42" t="str">
            <v>Rupiah</v>
          </cell>
        </row>
        <row r="44">
          <cell r="C44" t="str">
            <v>Biaya Operasi per Jam        =</v>
          </cell>
          <cell r="E44" t="str">
            <v>(H+I+K+L+M)</v>
          </cell>
          <cell r="G44" t="str">
            <v>P</v>
          </cell>
          <cell r="H44">
            <v>29245.535714285714</v>
          </cell>
          <cell r="I44" t="str">
            <v>Rupiah</v>
          </cell>
        </row>
        <row r="46">
          <cell r="A46" t="str">
            <v>D.</v>
          </cell>
          <cell r="C46" t="str">
            <v>TOTAL BIAYA SEWA ALAT / JAM   =   ( G + P )</v>
          </cell>
          <cell r="G46" t="str">
            <v>S</v>
          </cell>
          <cell r="H46">
            <v>35539.419469874389</v>
          </cell>
          <cell r="I46" t="str">
            <v>Rupiah</v>
          </cell>
        </row>
        <row r="49">
          <cell r="A49" t="str">
            <v>E.</v>
          </cell>
          <cell r="C49" t="str">
            <v>LAIN - LAIN</v>
          </cell>
        </row>
        <row r="50">
          <cell r="A50" t="str">
            <v xml:space="preserve">       1.</v>
          </cell>
          <cell r="C50" t="str">
            <v>Tingkat Suku Bunga</v>
          </cell>
          <cell r="G50" t="str">
            <v>i</v>
          </cell>
          <cell r="H50">
            <v>20</v>
          </cell>
          <cell r="I50" t="str">
            <v>% / Tahun</v>
          </cell>
        </row>
        <row r="51">
          <cell r="A51" t="str">
            <v xml:space="preserve">       2.</v>
          </cell>
          <cell r="C51" t="str">
            <v>Upah Operator / Sopir</v>
          </cell>
          <cell r="G51" t="str">
            <v>U1</v>
          </cell>
          <cell r="H51">
            <v>10714.285714285714</v>
          </cell>
          <cell r="I51" t="str">
            <v>Rp./Jam</v>
          </cell>
        </row>
        <row r="52">
          <cell r="A52" t="str">
            <v xml:space="preserve">       3.</v>
          </cell>
          <cell r="C52" t="str">
            <v>Upah Pembantu Operator / Pmb.Sopir</v>
          </cell>
          <cell r="G52" t="str">
            <v>U2</v>
          </cell>
          <cell r="H52">
            <v>4000</v>
          </cell>
          <cell r="I52" t="str">
            <v>Rp./Jam</v>
          </cell>
        </row>
        <row r="53">
          <cell r="A53" t="str">
            <v xml:space="preserve">       4.</v>
          </cell>
          <cell r="C53" t="str">
            <v>Bahan Bakar Bensin</v>
          </cell>
          <cell r="G53" t="str">
            <v>Mb</v>
          </cell>
          <cell r="H53">
            <v>4500</v>
          </cell>
          <cell r="I53" t="str">
            <v>Liter</v>
          </cell>
        </row>
        <row r="54">
          <cell r="A54" t="str">
            <v xml:space="preserve">       5.</v>
          </cell>
          <cell r="C54" t="str">
            <v>Bahan Bakar Solar</v>
          </cell>
          <cell r="G54" t="str">
            <v>Ms</v>
          </cell>
          <cell r="H54">
            <v>4400</v>
          </cell>
          <cell r="I54" t="str">
            <v>Liter</v>
          </cell>
        </row>
        <row r="55">
          <cell r="A55" t="str">
            <v xml:space="preserve">       6.</v>
          </cell>
          <cell r="C55" t="str">
            <v>Minyak Pelumas</v>
          </cell>
          <cell r="G55" t="str">
            <v>Mp</v>
          </cell>
          <cell r="H55">
            <v>30000</v>
          </cell>
          <cell r="I55" t="str">
            <v>Liter</v>
          </cell>
        </row>
        <row r="56">
          <cell r="A56" t="str">
            <v xml:space="preserve">       7.</v>
          </cell>
          <cell r="C56" t="str">
            <v>PPN diperhitungkan pada lembar Rekapitulasi</v>
          </cell>
        </row>
        <row r="57">
          <cell r="C57" t="str">
            <v>Biaya Pekerjaan</v>
          </cell>
        </row>
        <row r="119">
          <cell r="A119" t="str">
            <v>URAIAN ANALISA ALAT</v>
          </cell>
        </row>
        <row r="122">
          <cell r="A122" t="str">
            <v>No.</v>
          </cell>
          <cell r="C122" t="str">
            <v>U R A I A N</v>
          </cell>
          <cell r="G122" t="str">
            <v>KODE</v>
          </cell>
          <cell r="H122" t="str">
            <v>KOEF.</v>
          </cell>
          <cell r="I122" t="str">
            <v>SATUAN</v>
          </cell>
          <cell r="J122" t="str">
            <v>KET.</v>
          </cell>
        </row>
        <row r="125">
          <cell r="A125" t="str">
            <v>A.</v>
          </cell>
          <cell r="C125" t="str">
            <v>URAIAN PERALATAN</v>
          </cell>
        </row>
        <row r="126">
          <cell r="A126" t="str">
            <v xml:space="preserve">       1.</v>
          </cell>
          <cell r="C126" t="str">
            <v>Jenis Peralatan</v>
          </cell>
          <cell r="G126" t="str">
            <v>DUMP TRUCK 3-4 M3</v>
          </cell>
          <cell r="J126" t="str">
            <v>E08</v>
          </cell>
        </row>
        <row r="127">
          <cell r="A127" t="str">
            <v xml:space="preserve">       2.</v>
          </cell>
          <cell r="C127" t="str">
            <v>Tenaga</v>
          </cell>
          <cell r="G127" t="str">
            <v>Pw</v>
          </cell>
          <cell r="H127">
            <v>100</v>
          </cell>
          <cell r="I127" t="str">
            <v>HP</v>
          </cell>
        </row>
        <row r="128">
          <cell r="A128" t="str">
            <v xml:space="preserve">       3.</v>
          </cell>
          <cell r="C128" t="str">
            <v>Kapasitas</v>
          </cell>
          <cell r="G128" t="str">
            <v>Cp</v>
          </cell>
          <cell r="H128">
            <v>6</v>
          </cell>
          <cell r="I128" t="str">
            <v>Ton</v>
          </cell>
        </row>
        <row r="129">
          <cell r="A129" t="str">
            <v xml:space="preserve">       4.</v>
          </cell>
          <cell r="C129" t="str">
            <v>Alat Baru                :</v>
          </cell>
          <cell r="D129" t="str">
            <v xml:space="preserve">  a.  Umur Ekonomis</v>
          </cell>
          <cell r="G129" t="str">
            <v>A</v>
          </cell>
          <cell r="H129">
            <v>5</v>
          </cell>
          <cell r="I129" t="str">
            <v>Tahun</v>
          </cell>
        </row>
        <row r="130">
          <cell r="D130" t="str">
            <v xml:space="preserve">  b.  Jam Kerja Dalam 1 Tahun</v>
          </cell>
          <cell r="G130" t="str">
            <v>W</v>
          </cell>
          <cell r="H130">
            <v>2000</v>
          </cell>
          <cell r="I130" t="str">
            <v>Jam</v>
          </cell>
        </row>
        <row r="131">
          <cell r="D131" t="str">
            <v xml:space="preserve">  c.  Harga Alat</v>
          </cell>
          <cell r="G131" t="str">
            <v>B</v>
          </cell>
          <cell r="H131">
            <v>209000000.00000003</v>
          </cell>
          <cell r="I131" t="str">
            <v>Rupiah</v>
          </cell>
        </row>
        <row r="132">
          <cell r="A132" t="str">
            <v xml:space="preserve">       5.</v>
          </cell>
          <cell r="C132" t="str">
            <v>Alat Yang Dipakai  :</v>
          </cell>
          <cell r="D132" t="str">
            <v xml:space="preserve">  a.  Umur Ekonomis</v>
          </cell>
          <cell r="G132" t="str">
            <v>A'</v>
          </cell>
          <cell r="H132">
            <v>5</v>
          </cell>
          <cell r="I132" t="str">
            <v>Tahun</v>
          </cell>
          <cell r="J132" t="str">
            <v xml:space="preserve"> Alat Baru</v>
          </cell>
        </row>
        <row r="133">
          <cell r="D133" t="str">
            <v xml:space="preserve">  b.  Jam Kerja Dalam 1 Tahun </v>
          </cell>
          <cell r="G133" t="str">
            <v>W'</v>
          </cell>
          <cell r="H133">
            <v>2000</v>
          </cell>
          <cell r="I133" t="str">
            <v>Jam</v>
          </cell>
          <cell r="J133" t="str">
            <v xml:space="preserve"> Alat Baru</v>
          </cell>
        </row>
        <row r="134">
          <cell r="D134" t="str">
            <v xml:space="preserve">  c.  Harga Alat   (*)</v>
          </cell>
          <cell r="G134" t="str">
            <v>B'</v>
          </cell>
          <cell r="H134">
            <v>209000000.00000003</v>
          </cell>
          <cell r="I134" t="str">
            <v>Rupiah</v>
          </cell>
          <cell r="J134" t="str">
            <v xml:space="preserve"> Alat Baru</v>
          </cell>
        </row>
        <row r="136">
          <cell r="A136" t="str">
            <v>B.</v>
          </cell>
          <cell r="C136" t="str">
            <v>BIAYA PASTI PER JAM KERJA</v>
          </cell>
        </row>
        <row r="137">
          <cell r="A137" t="str">
            <v xml:space="preserve">       1.</v>
          </cell>
          <cell r="C137" t="str">
            <v>Nilai Sisa Alat</v>
          </cell>
          <cell r="D137" t="str">
            <v>=  10 % x B</v>
          </cell>
          <cell r="G137" t="str">
            <v>C</v>
          </cell>
          <cell r="H137">
            <v>20900000.000000004</v>
          </cell>
          <cell r="I137" t="str">
            <v>Rupiah</v>
          </cell>
        </row>
        <row r="139">
          <cell r="A139" t="str">
            <v xml:space="preserve">       2.</v>
          </cell>
          <cell r="C139" t="str">
            <v>Faktor Angsuran Modal    =</v>
          </cell>
          <cell r="E139" t="str">
            <v>i x (1 + i)^A'</v>
          </cell>
          <cell r="G139" t="str">
            <v>D</v>
          </cell>
          <cell r="H139">
            <v>0.33437970328961514</v>
          </cell>
          <cell r="I139" t="str">
            <v>-</v>
          </cell>
        </row>
        <row r="140">
          <cell r="E140" t="str">
            <v>(1 + i)^A' - 1</v>
          </cell>
        </row>
        <row r="141">
          <cell r="A141" t="str">
            <v xml:space="preserve">       3.</v>
          </cell>
          <cell r="C141" t="str">
            <v>Biaya Pasti per Jam  :</v>
          </cell>
        </row>
        <row r="142">
          <cell r="C142" t="str">
            <v>a.  Biaya Pengembalian Modal  =</v>
          </cell>
          <cell r="E142" t="str">
            <v>( B' - C ) x D</v>
          </cell>
          <cell r="G142" t="str">
            <v>E</v>
          </cell>
          <cell r="H142">
            <v>31448.41109438831</v>
          </cell>
          <cell r="I142" t="str">
            <v>Rupiah</v>
          </cell>
        </row>
        <row r="143">
          <cell r="E143" t="str">
            <v>W'</v>
          </cell>
        </row>
        <row r="145">
          <cell r="C145" t="str">
            <v>b.  Asuransi, dll =</v>
          </cell>
          <cell r="D145">
            <v>2E-3</v>
          </cell>
          <cell r="E145" t="str">
            <v xml:space="preserve">  x   B'</v>
          </cell>
          <cell r="G145" t="str">
            <v>F</v>
          </cell>
          <cell r="H145">
            <v>209</v>
          </cell>
          <cell r="I145" t="str">
            <v>Rupiah</v>
          </cell>
        </row>
        <row r="146">
          <cell r="E146" t="str">
            <v>W'</v>
          </cell>
        </row>
        <row r="148">
          <cell r="C148" t="str">
            <v>Biaya Pasti per Jam             =</v>
          </cell>
          <cell r="E148" t="str">
            <v>( E + F )</v>
          </cell>
          <cell r="G148" t="str">
            <v>G</v>
          </cell>
          <cell r="H148">
            <v>31657.41109438831</v>
          </cell>
          <cell r="I148" t="str">
            <v>Rupiah</v>
          </cell>
        </row>
        <row r="150">
          <cell r="A150" t="str">
            <v>C.</v>
          </cell>
          <cell r="C150" t="str">
            <v>BIAYA OPERASI PER JAM KERJA</v>
          </cell>
        </row>
        <row r="152">
          <cell r="A152" t="str">
            <v xml:space="preserve">       1.</v>
          </cell>
          <cell r="C152" t="str">
            <v xml:space="preserve">Bahan Bakar  =  (0.125-0.175 Ltr/HP/Jam)   x Pw x Ms </v>
          </cell>
          <cell r="G152" t="str">
            <v>H</v>
          </cell>
          <cell r="H152">
            <v>51875</v>
          </cell>
          <cell r="I152" t="str">
            <v>Rupiah</v>
          </cell>
        </row>
        <row r="154">
          <cell r="A154" t="str">
            <v xml:space="preserve">       2.</v>
          </cell>
          <cell r="C154" t="str">
            <v>Pelumas         =  (0.01-0.02 Ltr/HP/Jam) x Pw x Mp</v>
          </cell>
          <cell r="G154" t="str">
            <v>I</v>
          </cell>
          <cell r="H154">
            <v>30000</v>
          </cell>
          <cell r="I154" t="str">
            <v>Rupiah</v>
          </cell>
        </row>
        <row r="156">
          <cell r="A156" t="str">
            <v xml:space="preserve">       3.</v>
          </cell>
          <cell r="C156" t="str">
            <v>Perawatan dan</v>
          </cell>
          <cell r="D156" t="str">
            <v>(12,5 % - 17,5 %)  x  B'</v>
          </cell>
          <cell r="G156" t="str">
            <v>K</v>
          </cell>
          <cell r="H156">
            <v>13062.5</v>
          </cell>
          <cell r="I156" t="str">
            <v>Rupiah</v>
          </cell>
        </row>
        <row r="157">
          <cell r="C157" t="str">
            <v xml:space="preserve">        perbaikan    =</v>
          </cell>
          <cell r="D157" t="str">
            <v>W'</v>
          </cell>
        </row>
        <row r="159">
          <cell r="A159" t="str">
            <v xml:space="preserve">       4.</v>
          </cell>
          <cell r="C159" t="str">
            <v>Operator</v>
          </cell>
          <cell r="D159" t="str">
            <v>=   ( 1  Orang / Jam )  x  U1</v>
          </cell>
          <cell r="G159" t="str">
            <v>L</v>
          </cell>
          <cell r="H159">
            <v>10714.285714285714</v>
          </cell>
          <cell r="I159" t="str">
            <v>Rupiah</v>
          </cell>
        </row>
        <row r="160">
          <cell r="A160" t="str">
            <v xml:space="preserve">       5.</v>
          </cell>
          <cell r="C160" t="str">
            <v>Pembantu Operator</v>
          </cell>
          <cell r="D160" t="str">
            <v>=   ( 1  Orang / Jam )  x  U2</v>
          </cell>
          <cell r="G160" t="str">
            <v>M</v>
          </cell>
          <cell r="H160">
            <v>4000</v>
          </cell>
          <cell r="I160" t="str">
            <v>Rupiah</v>
          </cell>
        </row>
        <row r="162">
          <cell r="C162" t="str">
            <v>Biaya Operasi per Jam        =</v>
          </cell>
          <cell r="E162" t="str">
            <v>(H+I+K+L+M)</v>
          </cell>
          <cell r="G162" t="str">
            <v>P</v>
          </cell>
          <cell r="H162">
            <v>109651.78571428571</v>
          </cell>
          <cell r="I162" t="str">
            <v>Rupiah</v>
          </cell>
        </row>
        <row r="164">
          <cell r="A164" t="str">
            <v>D.</v>
          </cell>
          <cell r="C164" t="str">
            <v>TOTAL BIAYA SEWA ALAT / JAM   =   ( G + P )</v>
          </cell>
          <cell r="G164" t="str">
            <v>S</v>
          </cell>
          <cell r="H164">
            <v>141309.19680867402</v>
          </cell>
          <cell r="I164" t="str">
            <v>Rupiah</v>
          </cell>
        </row>
        <row r="167">
          <cell r="A167" t="str">
            <v>E.</v>
          </cell>
          <cell r="C167" t="str">
            <v>LAIN - LAIN</v>
          </cell>
        </row>
        <row r="168">
          <cell r="A168" t="str">
            <v xml:space="preserve">       1.</v>
          </cell>
          <cell r="C168" t="str">
            <v>Tingkat Suku Bunga</v>
          </cell>
          <cell r="G168" t="str">
            <v>i</v>
          </cell>
          <cell r="H168">
            <v>20</v>
          </cell>
          <cell r="I168" t="str">
            <v>% / Tahun</v>
          </cell>
        </row>
        <row r="169">
          <cell r="A169" t="str">
            <v xml:space="preserve">       2.</v>
          </cell>
          <cell r="C169" t="str">
            <v>Upah Operator / Sopir / Mekanik</v>
          </cell>
          <cell r="G169" t="str">
            <v>U1</v>
          </cell>
          <cell r="H169">
            <v>10714.285714285714</v>
          </cell>
          <cell r="I169" t="str">
            <v>Rp./Jam</v>
          </cell>
        </row>
        <row r="170">
          <cell r="A170" t="str">
            <v xml:space="preserve">       3.</v>
          </cell>
          <cell r="C170" t="str">
            <v>Upah Pembantu Operator / Pmb.Sopir / Pmb.Mekanik</v>
          </cell>
          <cell r="G170" t="str">
            <v>U2</v>
          </cell>
          <cell r="H170">
            <v>4000</v>
          </cell>
          <cell r="I170" t="str">
            <v>Rp./Jam</v>
          </cell>
        </row>
        <row r="171">
          <cell r="A171" t="str">
            <v xml:space="preserve">       4.</v>
          </cell>
          <cell r="C171" t="str">
            <v>Bahan Bakar Bensin</v>
          </cell>
          <cell r="G171" t="str">
            <v>Mb</v>
          </cell>
          <cell r="H171">
            <v>4500</v>
          </cell>
          <cell r="I171" t="str">
            <v>Liter</v>
          </cell>
        </row>
        <row r="172">
          <cell r="A172" t="str">
            <v xml:space="preserve">       5.</v>
          </cell>
          <cell r="C172" t="str">
            <v>Bahan Bakar Solar</v>
          </cell>
          <cell r="G172" t="str">
            <v>Ms</v>
          </cell>
          <cell r="H172">
            <v>4400</v>
          </cell>
          <cell r="I172" t="str">
            <v>Liter</v>
          </cell>
        </row>
        <row r="173">
          <cell r="A173" t="str">
            <v xml:space="preserve">       6.</v>
          </cell>
          <cell r="C173" t="str">
            <v>Minyak Pelumas</v>
          </cell>
          <cell r="G173" t="str">
            <v>Mp</v>
          </cell>
          <cell r="H173">
            <v>30000</v>
          </cell>
          <cell r="I173" t="str">
            <v>Liter</v>
          </cell>
        </row>
        <row r="174">
          <cell r="A174" t="str">
            <v xml:space="preserve">       7.</v>
          </cell>
          <cell r="C174" t="str">
            <v>PPN diperhitungkan pada lembar Rekapitulasi</v>
          </cell>
        </row>
        <row r="175">
          <cell r="C175" t="str">
            <v>Biaya Pekerjaan</v>
          </cell>
        </row>
        <row r="178">
          <cell r="A178" t="str">
            <v>URAIAN ANALISA ALAT</v>
          </cell>
        </row>
        <row r="181">
          <cell r="A181" t="str">
            <v>No.</v>
          </cell>
          <cell r="C181" t="str">
            <v>U R A I A N</v>
          </cell>
          <cell r="G181" t="str">
            <v>KODE</v>
          </cell>
          <cell r="H181" t="str">
            <v>KOEF.</v>
          </cell>
          <cell r="I181" t="str">
            <v>SATUAN</v>
          </cell>
          <cell r="J181" t="str">
            <v>KET.</v>
          </cell>
        </row>
        <row r="184">
          <cell r="A184" t="str">
            <v>A.</v>
          </cell>
          <cell r="C184" t="str">
            <v>URAIAN PERALATAN</v>
          </cell>
        </row>
        <row r="185">
          <cell r="A185" t="str">
            <v xml:space="preserve">       1.</v>
          </cell>
          <cell r="C185" t="str">
            <v>Jenis Peralatan</v>
          </cell>
          <cell r="G185" t="str">
            <v>DUMP TRUCK</v>
          </cell>
          <cell r="J185" t="str">
            <v>E09</v>
          </cell>
        </row>
        <row r="186">
          <cell r="A186" t="str">
            <v xml:space="preserve">       2.</v>
          </cell>
          <cell r="C186" t="str">
            <v>Tenaga</v>
          </cell>
          <cell r="G186" t="str">
            <v>Pw</v>
          </cell>
          <cell r="H186">
            <v>125</v>
          </cell>
          <cell r="I186" t="str">
            <v>HP</v>
          </cell>
        </row>
        <row r="187">
          <cell r="A187" t="str">
            <v xml:space="preserve">       3.</v>
          </cell>
          <cell r="C187" t="str">
            <v>Kapasitas</v>
          </cell>
          <cell r="G187" t="str">
            <v>Cp</v>
          </cell>
          <cell r="H187">
            <v>8</v>
          </cell>
          <cell r="I187" t="str">
            <v>Ton</v>
          </cell>
        </row>
        <row r="188">
          <cell r="A188" t="str">
            <v xml:space="preserve">       4.</v>
          </cell>
          <cell r="C188" t="str">
            <v>Alat Baru                :</v>
          </cell>
          <cell r="D188" t="str">
            <v xml:space="preserve">  a.  Umur Ekonomis</v>
          </cell>
          <cell r="G188" t="str">
            <v>A</v>
          </cell>
          <cell r="H188">
            <v>5</v>
          </cell>
          <cell r="I188" t="str">
            <v>Tahun</v>
          </cell>
        </row>
        <row r="189">
          <cell r="D189" t="str">
            <v xml:space="preserve">  b.  Jam Kerja Dalam 1 Tahun</v>
          </cell>
          <cell r="G189" t="str">
            <v>W</v>
          </cell>
          <cell r="H189">
            <v>2000</v>
          </cell>
          <cell r="I189" t="str">
            <v>Jam</v>
          </cell>
        </row>
        <row r="190">
          <cell r="D190" t="str">
            <v xml:space="preserve">  c.  Harga Alat</v>
          </cell>
          <cell r="G190" t="str">
            <v>B</v>
          </cell>
          <cell r="H190">
            <v>300000000</v>
          </cell>
          <cell r="I190" t="str">
            <v>Rupiah</v>
          </cell>
        </row>
        <row r="191">
          <cell r="A191" t="str">
            <v xml:space="preserve">       5.</v>
          </cell>
          <cell r="C191" t="str">
            <v>Alat Yang Dipakai  :</v>
          </cell>
          <cell r="D191" t="str">
            <v xml:space="preserve">  a.  Umur Ekonomis</v>
          </cell>
          <cell r="G191" t="str">
            <v>A'</v>
          </cell>
          <cell r="H191">
            <v>5</v>
          </cell>
          <cell r="I191" t="str">
            <v>Tahun</v>
          </cell>
          <cell r="J191" t="str">
            <v xml:space="preserve"> Alat Baru</v>
          </cell>
        </row>
        <row r="192">
          <cell r="D192" t="str">
            <v xml:space="preserve">  b.  Jam Kerja Dalam 1 Tahun </v>
          </cell>
          <cell r="G192" t="str">
            <v>W'</v>
          </cell>
          <cell r="H192">
            <v>2000</v>
          </cell>
          <cell r="I192" t="str">
            <v>Jam</v>
          </cell>
          <cell r="J192" t="str">
            <v xml:space="preserve"> Alat Baru</v>
          </cell>
        </row>
        <row r="193">
          <cell r="D193" t="str">
            <v xml:space="preserve">  c.  Harga Alat   (*)</v>
          </cell>
          <cell r="G193" t="str">
            <v>B'</v>
          </cell>
          <cell r="H193">
            <v>300000000</v>
          </cell>
          <cell r="I193" t="str">
            <v>Rupiah</v>
          </cell>
          <cell r="J193" t="str">
            <v xml:space="preserve"> Alat Baru</v>
          </cell>
        </row>
        <row r="195">
          <cell r="A195" t="str">
            <v>B.</v>
          </cell>
          <cell r="C195" t="str">
            <v>BIAYA PASTI PER JAM KERJA</v>
          </cell>
        </row>
        <row r="196">
          <cell r="A196" t="str">
            <v xml:space="preserve">       1.</v>
          </cell>
          <cell r="C196" t="str">
            <v>Nilai Sisa Alat</v>
          </cell>
          <cell r="D196" t="str">
            <v>=  10 % x B</v>
          </cell>
          <cell r="G196" t="str">
            <v>C</v>
          </cell>
          <cell r="H196">
            <v>30000000</v>
          </cell>
          <cell r="I196" t="str">
            <v>Rupiah</v>
          </cell>
        </row>
        <row r="198">
          <cell r="A198" t="str">
            <v xml:space="preserve">       2.</v>
          </cell>
          <cell r="C198" t="str">
            <v>Faktor Angsuran Modal    =</v>
          </cell>
          <cell r="E198" t="str">
            <v>i x (1 + i)^A'</v>
          </cell>
          <cell r="G198" t="str">
            <v>D</v>
          </cell>
          <cell r="H198">
            <v>0.33437970328961514</v>
          </cell>
          <cell r="I198" t="str">
            <v>-</v>
          </cell>
        </row>
        <row r="199">
          <cell r="E199" t="str">
            <v>(1 + i)^A' - 1</v>
          </cell>
        </row>
        <row r="200">
          <cell r="A200" t="str">
            <v xml:space="preserve">       3.</v>
          </cell>
          <cell r="C200" t="str">
            <v>Biaya Pasti per Jam  :</v>
          </cell>
        </row>
        <row r="201">
          <cell r="C201" t="str">
            <v>a.  Biaya Pengembalian Modal  =</v>
          </cell>
          <cell r="E201" t="str">
            <v>( B' - C ) x D</v>
          </cell>
          <cell r="G201" t="str">
            <v>E</v>
          </cell>
          <cell r="H201">
            <v>45141.259944098041</v>
          </cell>
          <cell r="I201" t="str">
            <v>Rupiah</v>
          </cell>
        </row>
        <row r="202">
          <cell r="E202" t="str">
            <v>W'</v>
          </cell>
        </row>
        <row r="204">
          <cell r="C204" t="str">
            <v>b.  Asuransi, dll =</v>
          </cell>
          <cell r="D204">
            <v>2E-3</v>
          </cell>
          <cell r="E204" t="str">
            <v xml:space="preserve">  x   B'</v>
          </cell>
          <cell r="G204" t="str">
            <v>F</v>
          </cell>
          <cell r="H204">
            <v>300</v>
          </cell>
          <cell r="I204" t="str">
            <v>Rupiah</v>
          </cell>
        </row>
        <row r="205">
          <cell r="E205" t="str">
            <v>W'</v>
          </cell>
        </row>
        <row r="207">
          <cell r="C207" t="str">
            <v>Biaya Pasti per Jam             =</v>
          </cell>
          <cell r="E207" t="str">
            <v>( E + F )</v>
          </cell>
          <cell r="G207" t="str">
            <v>G</v>
          </cell>
          <cell r="H207">
            <v>45441.259944098041</v>
          </cell>
          <cell r="I207" t="str">
            <v>Rupiah</v>
          </cell>
        </row>
        <row r="209">
          <cell r="A209" t="str">
            <v>C.</v>
          </cell>
          <cell r="C209" t="str">
            <v>BIAYA OPERASI PER JAM KERJA</v>
          </cell>
        </row>
        <row r="211">
          <cell r="A211" t="str">
            <v xml:space="preserve">       1.</v>
          </cell>
          <cell r="C211" t="str">
            <v xml:space="preserve">Bahan Bakar  =  (0.125-0.175 Ltr/HP/Jam)   x Pw x Ms </v>
          </cell>
          <cell r="G211" t="str">
            <v>H</v>
          </cell>
          <cell r="H211">
            <v>64843.75</v>
          </cell>
          <cell r="I211" t="str">
            <v>Rupiah</v>
          </cell>
        </row>
        <row r="213">
          <cell r="A213" t="str">
            <v xml:space="preserve">       2.</v>
          </cell>
          <cell r="C213" t="str">
            <v>Pelumas         =  (0.01-0.02 Ltr/HP/Jam) x Pw x Mp</v>
          </cell>
          <cell r="G213" t="str">
            <v>I</v>
          </cell>
          <cell r="H213">
            <v>37500</v>
          </cell>
          <cell r="I213" t="str">
            <v>Rupiah</v>
          </cell>
        </row>
        <row r="215">
          <cell r="A215" t="str">
            <v xml:space="preserve">       3.</v>
          </cell>
          <cell r="C215" t="str">
            <v>Perawatan dan</v>
          </cell>
          <cell r="D215" t="str">
            <v>(12,5 % - 17,5 %)  x  B'</v>
          </cell>
          <cell r="G215" t="str">
            <v>K</v>
          </cell>
          <cell r="H215">
            <v>18750</v>
          </cell>
          <cell r="I215" t="str">
            <v>Rupiah</v>
          </cell>
        </row>
        <row r="216">
          <cell r="C216" t="str">
            <v xml:space="preserve">        perbaikan    =</v>
          </cell>
          <cell r="D216" t="str">
            <v>W'</v>
          </cell>
        </row>
        <row r="218">
          <cell r="A218" t="str">
            <v xml:space="preserve">       4.</v>
          </cell>
          <cell r="C218" t="str">
            <v>Operator</v>
          </cell>
          <cell r="D218" t="str">
            <v>=   ( 1  Orang / Jam )  x  U1</v>
          </cell>
          <cell r="G218" t="str">
            <v>L</v>
          </cell>
          <cell r="H218">
            <v>10714.285714285714</v>
          </cell>
          <cell r="I218" t="str">
            <v>Rupiah</v>
          </cell>
        </row>
        <row r="219">
          <cell r="A219" t="str">
            <v xml:space="preserve">       5.</v>
          </cell>
          <cell r="C219" t="str">
            <v>Pembantu Operator</v>
          </cell>
          <cell r="D219" t="str">
            <v>=   ( 1  Orang / Jam )  x  U2</v>
          </cell>
          <cell r="G219" t="str">
            <v>M</v>
          </cell>
          <cell r="H219">
            <v>4000</v>
          </cell>
          <cell r="I219" t="str">
            <v>Rupiah</v>
          </cell>
        </row>
        <row r="221">
          <cell r="C221" t="str">
            <v>Biaya Operasi per Jam        =</v>
          </cell>
          <cell r="E221" t="str">
            <v>(H+I+K+L+M)</v>
          </cell>
          <cell r="G221" t="str">
            <v>P</v>
          </cell>
          <cell r="H221">
            <v>135808.03571428571</v>
          </cell>
          <cell r="I221" t="str">
            <v>Rupiah</v>
          </cell>
        </row>
        <row r="223">
          <cell r="A223" t="str">
            <v>D.</v>
          </cell>
          <cell r="C223" t="str">
            <v>TOTAL BIAYA SEWA ALAT / JAM   =   ( G + P )</v>
          </cell>
          <cell r="G223" t="str">
            <v>S</v>
          </cell>
          <cell r="H223">
            <v>181249.29565838375</v>
          </cell>
          <cell r="I223" t="str">
            <v>Rupiah</v>
          </cell>
        </row>
        <row r="226">
          <cell r="A226" t="str">
            <v>E.</v>
          </cell>
          <cell r="C226" t="str">
            <v>LAIN - LAIN</v>
          </cell>
        </row>
        <row r="227">
          <cell r="A227" t="str">
            <v xml:space="preserve">       1.</v>
          </cell>
          <cell r="C227" t="str">
            <v>Tingkat Suku Bunga</v>
          </cell>
          <cell r="G227" t="str">
            <v>i</v>
          </cell>
          <cell r="H227">
            <v>20</v>
          </cell>
          <cell r="I227" t="str">
            <v>% / Tahun</v>
          </cell>
        </row>
        <row r="228">
          <cell r="A228" t="str">
            <v xml:space="preserve">       2.</v>
          </cell>
          <cell r="C228" t="str">
            <v>Upah Operator / Sopir / Mekanik</v>
          </cell>
          <cell r="G228" t="str">
            <v>U1</v>
          </cell>
          <cell r="H228">
            <v>10714.285714285714</v>
          </cell>
          <cell r="I228" t="str">
            <v>Rp./Jam</v>
          </cell>
        </row>
        <row r="229">
          <cell r="A229" t="str">
            <v xml:space="preserve">       3.</v>
          </cell>
          <cell r="C229" t="str">
            <v>Upah Pembantu Operator / Pmb.Sopir / Pmb.Mekanik</v>
          </cell>
          <cell r="G229" t="str">
            <v>U2</v>
          </cell>
          <cell r="H229">
            <v>4000</v>
          </cell>
          <cell r="I229" t="str">
            <v>Rp./Jam</v>
          </cell>
        </row>
        <row r="230">
          <cell r="A230" t="str">
            <v xml:space="preserve">       4.</v>
          </cell>
          <cell r="C230" t="str">
            <v>Bahan Bakar Bensin</v>
          </cell>
          <cell r="G230" t="str">
            <v>Mb</v>
          </cell>
          <cell r="H230">
            <v>4500</v>
          </cell>
          <cell r="I230" t="str">
            <v>Liter</v>
          </cell>
        </row>
        <row r="231">
          <cell r="A231" t="str">
            <v xml:space="preserve">       5.</v>
          </cell>
          <cell r="C231" t="str">
            <v>Bahan Bakar Solar</v>
          </cell>
          <cell r="G231" t="str">
            <v>Ms</v>
          </cell>
          <cell r="H231">
            <v>4400</v>
          </cell>
          <cell r="I231" t="str">
            <v>Liter</v>
          </cell>
        </row>
        <row r="232">
          <cell r="A232" t="str">
            <v xml:space="preserve">       6.</v>
          </cell>
          <cell r="C232" t="str">
            <v>Minyak Pelumas</v>
          </cell>
          <cell r="G232" t="str">
            <v>Mp</v>
          </cell>
          <cell r="H232">
            <v>30000</v>
          </cell>
          <cell r="I232" t="str">
            <v>Liter</v>
          </cell>
        </row>
        <row r="233">
          <cell r="A233" t="str">
            <v xml:space="preserve">       7.</v>
          </cell>
          <cell r="C233" t="str">
            <v>PPN diperhitungkan pada lembar Rekapitulasi</v>
          </cell>
        </row>
        <row r="234">
          <cell r="C234" t="str">
            <v>Biaya Pekerjaan</v>
          </cell>
        </row>
        <row r="238">
          <cell r="A238" t="str">
            <v>URAIAN ANALISA ALAT</v>
          </cell>
        </row>
        <row r="241">
          <cell r="A241" t="str">
            <v>No.</v>
          </cell>
          <cell r="C241" t="str">
            <v>U R A I A N</v>
          </cell>
          <cell r="G241" t="str">
            <v>KODE</v>
          </cell>
          <cell r="H241" t="str">
            <v>KOEF.</v>
          </cell>
          <cell r="I241" t="str">
            <v>SATUAN</v>
          </cell>
          <cell r="J241" t="str">
            <v>KET.</v>
          </cell>
        </row>
        <row r="244">
          <cell r="A244" t="str">
            <v>A.</v>
          </cell>
          <cell r="C244" t="str">
            <v>URAIAN PERALATAN</v>
          </cell>
        </row>
        <row r="245">
          <cell r="A245" t="str">
            <v xml:space="preserve">       1.</v>
          </cell>
          <cell r="C245" t="str">
            <v>Jenis Peralatan</v>
          </cell>
          <cell r="G245" t="str">
            <v>GENERATOR SET</v>
          </cell>
          <cell r="J245" t="str">
            <v>E12</v>
          </cell>
        </row>
        <row r="246">
          <cell r="A246" t="str">
            <v xml:space="preserve">       2.</v>
          </cell>
          <cell r="C246" t="str">
            <v>Tenaga</v>
          </cell>
          <cell r="G246" t="str">
            <v>Pw</v>
          </cell>
          <cell r="H246">
            <v>175</v>
          </cell>
          <cell r="I246" t="str">
            <v>HP</v>
          </cell>
        </row>
        <row r="247">
          <cell r="A247" t="str">
            <v xml:space="preserve">       3.</v>
          </cell>
          <cell r="C247" t="str">
            <v>Kapasitas</v>
          </cell>
          <cell r="G247" t="str">
            <v>Cp</v>
          </cell>
          <cell r="H247">
            <v>125</v>
          </cell>
          <cell r="I247" t="str">
            <v>KVA</v>
          </cell>
        </row>
        <row r="248">
          <cell r="A248" t="str">
            <v xml:space="preserve">       4.</v>
          </cell>
          <cell r="C248" t="str">
            <v>Alat Baru                :</v>
          </cell>
          <cell r="D248" t="str">
            <v xml:space="preserve">  a.  Umur Ekonomis</v>
          </cell>
          <cell r="G248" t="str">
            <v>A</v>
          </cell>
          <cell r="H248">
            <v>5</v>
          </cell>
          <cell r="I248" t="str">
            <v>Tahun</v>
          </cell>
        </row>
        <row r="249">
          <cell r="D249" t="str">
            <v xml:space="preserve">  b.  Jam Kerja Dalam 1 Tahun</v>
          </cell>
          <cell r="G249" t="str">
            <v>W</v>
          </cell>
          <cell r="H249">
            <v>2000</v>
          </cell>
          <cell r="I249" t="str">
            <v>Jam</v>
          </cell>
        </row>
        <row r="250">
          <cell r="D250" t="str">
            <v xml:space="preserve">  c.  Harga Alat</v>
          </cell>
          <cell r="G250" t="str">
            <v>B</v>
          </cell>
          <cell r="H250">
            <v>128000000</v>
          </cell>
          <cell r="I250" t="str">
            <v>Rupiah</v>
          </cell>
        </row>
        <row r="251">
          <cell r="A251" t="str">
            <v xml:space="preserve">       5.</v>
          </cell>
          <cell r="C251" t="str">
            <v>Alat Yang Dipakai  :</v>
          </cell>
          <cell r="D251" t="str">
            <v xml:space="preserve">  a.  Umur Ekonomis</v>
          </cell>
          <cell r="G251" t="str">
            <v>A'</v>
          </cell>
          <cell r="H251">
            <v>5</v>
          </cell>
          <cell r="I251" t="str">
            <v>Tahun</v>
          </cell>
          <cell r="J251" t="str">
            <v xml:space="preserve"> Alat Baru</v>
          </cell>
        </row>
        <row r="252">
          <cell r="D252" t="str">
            <v xml:space="preserve">  b.  Jam Kerja Dalam 1 Tahun </v>
          </cell>
          <cell r="G252" t="str">
            <v>W'</v>
          </cell>
          <cell r="H252">
            <v>2000</v>
          </cell>
          <cell r="I252" t="str">
            <v>Jam</v>
          </cell>
          <cell r="J252" t="str">
            <v xml:space="preserve"> Alat Baru</v>
          </cell>
        </row>
        <row r="253">
          <cell r="D253" t="str">
            <v xml:space="preserve">  c.  Harga Alat   (*)</v>
          </cell>
          <cell r="G253" t="str">
            <v>B'</v>
          </cell>
          <cell r="H253">
            <v>128000000</v>
          </cell>
          <cell r="I253" t="str">
            <v>Rupiah</v>
          </cell>
          <cell r="J253" t="str">
            <v xml:space="preserve"> Alat Baru</v>
          </cell>
        </row>
        <row r="255">
          <cell r="A255" t="str">
            <v>B.</v>
          </cell>
          <cell r="C255" t="str">
            <v>BIAYA PASTI PER JAM KERJA</v>
          </cell>
        </row>
        <row r="256">
          <cell r="A256" t="str">
            <v xml:space="preserve">       1.</v>
          </cell>
          <cell r="C256" t="str">
            <v>Nilai Sisa Alat</v>
          </cell>
          <cell r="D256" t="str">
            <v>=  10 % x B</v>
          </cell>
          <cell r="G256" t="str">
            <v>C</v>
          </cell>
          <cell r="H256">
            <v>12800000</v>
          </cell>
          <cell r="I256" t="str">
            <v>Rupiah</v>
          </cell>
        </row>
        <row r="258">
          <cell r="A258" t="str">
            <v xml:space="preserve">       2.</v>
          </cell>
          <cell r="C258" t="str">
            <v>Faktor Angsuran Modal    =</v>
          </cell>
          <cell r="E258" t="str">
            <v>i x (1 + i)^A'</v>
          </cell>
          <cell r="G258" t="str">
            <v>D</v>
          </cell>
          <cell r="H258">
            <v>0.33437970328961514</v>
          </cell>
          <cell r="I258" t="str">
            <v>-</v>
          </cell>
        </row>
        <row r="259">
          <cell r="E259" t="str">
            <v>(1 + i)^A' - 1</v>
          </cell>
        </row>
        <row r="260">
          <cell r="A260" t="str">
            <v xml:space="preserve">       3.</v>
          </cell>
          <cell r="C260" t="str">
            <v>Biaya Pasti per Jam  :</v>
          </cell>
        </row>
        <row r="261">
          <cell r="C261" t="str">
            <v>a.  Biaya Pengembalian Modal  =</v>
          </cell>
          <cell r="E261" t="str">
            <v>( B' - C ) x D</v>
          </cell>
          <cell r="G261" t="str">
            <v>E</v>
          </cell>
          <cell r="H261">
            <v>19260.270909481831</v>
          </cell>
          <cell r="I261" t="str">
            <v>Rupiah</v>
          </cell>
        </row>
        <row r="262">
          <cell r="E262" t="str">
            <v>W'</v>
          </cell>
        </row>
        <row r="264">
          <cell r="C264" t="str">
            <v>b.  Asuransi, dll =</v>
          </cell>
          <cell r="D264">
            <v>2E-3</v>
          </cell>
          <cell r="E264" t="str">
            <v xml:space="preserve">  x   B'</v>
          </cell>
          <cell r="G264" t="str">
            <v>F</v>
          </cell>
          <cell r="H264">
            <v>128</v>
          </cell>
          <cell r="I264" t="str">
            <v>Rupiah</v>
          </cell>
        </row>
        <row r="265">
          <cell r="E265" t="str">
            <v>W'</v>
          </cell>
        </row>
        <row r="267">
          <cell r="C267" t="str">
            <v>Biaya Pasti per Jam             =</v>
          </cell>
          <cell r="E267" t="str">
            <v>( E + F )</v>
          </cell>
          <cell r="G267" t="str">
            <v>G</v>
          </cell>
          <cell r="H267">
            <v>19388.270909481831</v>
          </cell>
          <cell r="I267" t="str">
            <v>Rupiah</v>
          </cell>
        </row>
        <row r="269">
          <cell r="A269" t="str">
            <v>C.</v>
          </cell>
          <cell r="C269" t="str">
            <v>BIAYA OPERASI PER JAM KERJA</v>
          </cell>
        </row>
        <row r="271">
          <cell r="A271" t="str">
            <v xml:space="preserve">       1.</v>
          </cell>
          <cell r="C271" t="str">
            <v xml:space="preserve">Bahan Bakar  =  (0.125-0.175 Ltr/HP/Jam)   x Pw x Ms </v>
          </cell>
          <cell r="G271" t="str">
            <v>H</v>
          </cell>
          <cell r="H271">
            <v>90781.25</v>
          </cell>
          <cell r="I271" t="str">
            <v>Rupiah</v>
          </cell>
        </row>
        <row r="273">
          <cell r="A273" t="str">
            <v xml:space="preserve">       2.</v>
          </cell>
          <cell r="C273" t="str">
            <v>Pelumas         =  (0.01-0.02 Ltr/HP/Jam) x Pw x Mp</v>
          </cell>
          <cell r="G273" t="str">
            <v>I</v>
          </cell>
          <cell r="H273">
            <v>52500</v>
          </cell>
          <cell r="I273" t="str">
            <v>Rupiah</v>
          </cell>
        </row>
        <row r="275">
          <cell r="A275" t="str">
            <v xml:space="preserve">       3.</v>
          </cell>
          <cell r="C275" t="str">
            <v>Perawatan dan</v>
          </cell>
          <cell r="D275" t="str">
            <v>(12,5 % - 17,5 %)  x  B'</v>
          </cell>
          <cell r="G275" t="str">
            <v>K</v>
          </cell>
          <cell r="H275">
            <v>8000</v>
          </cell>
          <cell r="I275" t="str">
            <v>Rupiah</v>
          </cell>
        </row>
        <row r="276">
          <cell r="C276" t="str">
            <v xml:space="preserve">        perbaikan    =</v>
          </cell>
          <cell r="D276" t="str">
            <v>W'</v>
          </cell>
        </row>
        <row r="278">
          <cell r="A278" t="str">
            <v xml:space="preserve">       4.</v>
          </cell>
          <cell r="C278" t="str">
            <v>Operator</v>
          </cell>
          <cell r="D278" t="str">
            <v>=   ( 1  Orang / Jam )  x  U1</v>
          </cell>
          <cell r="G278" t="str">
            <v>L</v>
          </cell>
          <cell r="H278">
            <v>10714.285714285714</v>
          </cell>
          <cell r="I278" t="str">
            <v>Rupiah</v>
          </cell>
        </row>
        <row r="279">
          <cell r="A279" t="str">
            <v xml:space="preserve">       5.</v>
          </cell>
          <cell r="C279" t="str">
            <v>Pembantu Operator</v>
          </cell>
          <cell r="D279" t="str">
            <v>=   ( 1  Orang / Jam )  x  U2</v>
          </cell>
          <cell r="G279" t="str">
            <v>M</v>
          </cell>
          <cell r="H279">
            <v>4000</v>
          </cell>
          <cell r="I279" t="str">
            <v>Rupiah</v>
          </cell>
        </row>
        <row r="281">
          <cell r="C281" t="str">
            <v>Biaya Operasi per Jam        =</v>
          </cell>
          <cell r="E281" t="str">
            <v>(H+I+K+L+M)</v>
          </cell>
          <cell r="G281" t="str">
            <v>P</v>
          </cell>
          <cell r="H281">
            <v>165995.53571428571</v>
          </cell>
          <cell r="I281" t="str">
            <v>Rupiah</v>
          </cell>
        </row>
        <row r="283">
          <cell r="A283" t="str">
            <v>D.</v>
          </cell>
          <cell r="C283" t="str">
            <v>TOTAL BIAYA SEWA ALAT / JAM   =   ( G + P )</v>
          </cell>
          <cell r="G283" t="str">
            <v>S</v>
          </cell>
          <cell r="H283">
            <v>185383.80662376754</v>
          </cell>
          <cell r="I283" t="str">
            <v>Rupiah</v>
          </cell>
        </row>
        <row r="286">
          <cell r="A286" t="str">
            <v>E.</v>
          </cell>
          <cell r="C286" t="str">
            <v>LAIN - LAIN</v>
          </cell>
        </row>
        <row r="287">
          <cell r="A287" t="str">
            <v xml:space="preserve">       1.</v>
          </cell>
          <cell r="C287" t="str">
            <v>Tingkat Suku Bunga</v>
          </cell>
          <cell r="G287" t="str">
            <v>i</v>
          </cell>
          <cell r="H287">
            <v>20</v>
          </cell>
          <cell r="I287" t="str">
            <v>% / Tahun</v>
          </cell>
        </row>
        <row r="288">
          <cell r="A288" t="str">
            <v xml:space="preserve">       2.</v>
          </cell>
          <cell r="C288" t="str">
            <v>Upah Operator / Sopir</v>
          </cell>
          <cell r="G288" t="str">
            <v>U1</v>
          </cell>
          <cell r="H288">
            <v>10714.285714285714</v>
          </cell>
          <cell r="I288" t="str">
            <v>Rp./Jam</v>
          </cell>
        </row>
        <row r="289">
          <cell r="A289" t="str">
            <v xml:space="preserve">       3.</v>
          </cell>
          <cell r="C289" t="str">
            <v>Upah Pembantu Operator / Pmb.Sopir</v>
          </cell>
          <cell r="G289" t="str">
            <v>U2</v>
          </cell>
          <cell r="H289">
            <v>4000</v>
          </cell>
          <cell r="I289" t="str">
            <v>Rp./Jam</v>
          </cell>
        </row>
        <row r="290">
          <cell r="A290" t="str">
            <v xml:space="preserve">       4.</v>
          </cell>
          <cell r="C290" t="str">
            <v>Bahan Bakar Bensin</v>
          </cell>
          <cell r="G290" t="str">
            <v>Mb</v>
          </cell>
          <cell r="H290">
            <v>4500</v>
          </cell>
          <cell r="I290" t="str">
            <v>Liter</v>
          </cell>
        </row>
        <row r="291">
          <cell r="A291" t="str">
            <v xml:space="preserve">       5.</v>
          </cell>
          <cell r="C291" t="str">
            <v>Bahan Bakar Solar</v>
          </cell>
          <cell r="G291" t="str">
            <v>Ms</v>
          </cell>
          <cell r="H291">
            <v>4400</v>
          </cell>
          <cell r="I291" t="str">
            <v>Liter</v>
          </cell>
        </row>
        <row r="292">
          <cell r="A292" t="str">
            <v xml:space="preserve">       6.</v>
          </cell>
          <cell r="C292" t="str">
            <v>Minyak Pelumas</v>
          </cell>
          <cell r="G292" t="str">
            <v>Mp</v>
          </cell>
          <cell r="H292">
            <v>30000</v>
          </cell>
          <cell r="I292" t="str">
            <v>Liter</v>
          </cell>
        </row>
        <row r="293">
          <cell r="A293" t="str">
            <v xml:space="preserve">       7.</v>
          </cell>
          <cell r="C293" t="str">
            <v>PPN diperhitungkan pada lembar Rekapitulasi</v>
          </cell>
        </row>
        <row r="294">
          <cell r="C294" t="str">
            <v>Biaya Pekerjaan</v>
          </cell>
        </row>
        <row r="297">
          <cell r="A297" t="str">
            <v>URAIAN ANALISA ALAT</v>
          </cell>
        </row>
        <row r="300">
          <cell r="A300" t="str">
            <v>No.</v>
          </cell>
          <cell r="C300" t="str">
            <v>U R A I A N</v>
          </cell>
          <cell r="G300" t="str">
            <v>KODE</v>
          </cell>
          <cell r="H300" t="str">
            <v>KOEF.</v>
          </cell>
          <cell r="I300" t="str">
            <v>SATUAN</v>
          </cell>
          <cell r="J300" t="str">
            <v>KET.</v>
          </cell>
        </row>
        <row r="303">
          <cell r="A303" t="str">
            <v>A.</v>
          </cell>
          <cell r="C303" t="str">
            <v>URAIAN PERALATAN</v>
          </cell>
        </row>
        <row r="304">
          <cell r="A304" t="str">
            <v xml:space="preserve">       1.</v>
          </cell>
          <cell r="C304" t="str">
            <v>Jenis Peralatan</v>
          </cell>
          <cell r="G304" t="str">
            <v>TRACK LOADER 75-100 HP</v>
          </cell>
          <cell r="J304" t="str">
            <v>E14</v>
          </cell>
        </row>
        <row r="305">
          <cell r="A305" t="str">
            <v xml:space="preserve">       2.</v>
          </cell>
          <cell r="C305" t="str">
            <v>Tenaga</v>
          </cell>
          <cell r="G305" t="str">
            <v>Pw</v>
          </cell>
          <cell r="H305">
            <v>90</v>
          </cell>
          <cell r="I305" t="str">
            <v>HP</v>
          </cell>
        </row>
        <row r="306">
          <cell r="A306" t="str">
            <v xml:space="preserve">       3.</v>
          </cell>
          <cell r="C306" t="str">
            <v>Kapasitas</v>
          </cell>
          <cell r="G306" t="str">
            <v>Cp</v>
          </cell>
          <cell r="H306">
            <v>1.6</v>
          </cell>
          <cell r="I306" t="str">
            <v>M3</v>
          </cell>
        </row>
        <row r="307">
          <cell r="A307" t="str">
            <v xml:space="preserve">       4.</v>
          </cell>
          <cell r="C307" t="str">
            <v>Alat Baru                :</v>
          </cell>
          <cell r="D307" t="str">
            <v xml:space="preserve">  a.  Umur Ekonomis</v>
          </cell>
          <cell r="G307" t="str">
            <v>A</v>
          </cell>
          <cell r="H307">
            <v>5</v>
          </cell>
          <cell r="I307" t="str">
            <v>Tahun</v>
          </cell>
        </row>
        <row r="308">
          <cell r="D308" t="str">
            <v xml:space="preserve">  b.  Jam Kerja Dalam 1 Tahun</v>
          </cell>
          <cell r="G308" t="str">
            <v>W</v>
          </cell>
          <cell r="H308">
            <v>2000</v>
          </cell>
          <cell r="I308" t="str">
            <v>Jam</v>
          </cell>
        </row>
        <row r="309">
          <cell r="D309" t="str">
            <v xml:space="preserve">  c.  Harga Alat</v>
          </cell>
          <cell r="G309" t="str">
            <v>B</v>
          </cell>
          <cell r="H309">
            <v>567000000</v>
          </cell>
          <cell r="I309" t="str">
            <v>Rupiah</v>
          </cell>
        </row>
        <row r="310">
          <cell r="A310" t="str">
            <v xml:space="preserve">       5.</v>
          </cell>
          <cell r="C310" t="str">
            <v>Alat Yang Dipakai  :</v>
          </cell>
          <cell r="D310" t="str">
            <v xml:space="preserve">  a.  Umur Ekonomis</v>
          </cell>
          <cell r="G310" t="str">
            <v>A'</v>
          </cell>
          <cell r="H310">
            <v>5</v>
          </cell>
          <cell r="I310" t="str">
            <v>Tahun</v>
          </cell>
          <cell r="J310" t="str">
            <v xml:space="preserve"> Alat Baru</v>
          </cell>
        </row>
        <row r="311">
          <cell r="D311" t="str">
            <v xml:space="preserve">  b.  Jam Kerja Dalam 1 Tahun </v>
          </cell>
          <cell r="G311" t="str">
            <v>W'</v>
          </cell>
          <cell r="H311">
            <v>2000</v>
          </cell>
          <cell r="I311" t="str">
            <v>Jam</v>
          </cell>
          <cell r="J311" t="str">
            <v xml:space="preserve"> Alat Baru</v>
          </cell>
        </row>
        <row r="312">
          <cell r="D312" t="str">
            <v xml:space="preserve">  c.  Harga Alat   (*)</v>
          </cell>
          <cell r="G312" t="str">
            <v>B'</v>
          </cell>
          <cell r="H312">
            <v>567000000</v>
          </cell>
          <cell r="I312" t="str">
            <v>Rupiah</v>
          </cell>
          <cell r="J312" t="str">
            <v xml:space="preserve"> Alat Baru</v>
          </cell>
        </row>
        <row r="314">
          <cell r="A314" t="str">
            <v>B.</v>
          </cell>
          <cell r="C314" t="str">
            <v>BIAYA PASTI PER JAM KERJA</v>
          </cell>
        </row>
        <row r="315">
          <cell r="A315" t="str">
            <v xml:space="preserve">       1.</v>
          </cell>
          <cell r="C315" t="str">
            <v>Nilai Sisa Alat</v>
          </cell>
          <cell r="D315" t="str">
            <v>=  10 % x B</v>
          </cell>
          <cell r="G315" t="str">
            <v>C</v>
          </cell>
          <cell r="H315">
            <v>56700000</v>
          </cell>
          <cell r="I315" t="str">
            <v>Rupiah</v>
          </cell>
        </row>
        <row r="317">
          <cell r="A317" t="str">
            <v xml:space="preserve">       2.</v>
          </cell>
          <cell r="C317" t="str">
            <v>Faktor Angsuran Modal    =</v>
          </cell>
          <cell r="E317" t="str">
            <v>i x (1 + i)^A'</v>
          </cell>
          <cell r="G317" t="str">
            <v>D</v>
          </cell>
          <cell r="H317">
            <v>0.33437970328961514</v>
          </cell>
          <cell r="I317" t="str">
            <v>-</v>
          </cell>
        </row>
        <row r="318">
          <cell r="E318" t="str">
            <v>(1 + i)^A' - 1</v>
          </cell>
        </row>
        <row r="319">
          <cell r="A319" t="str">
            <v xml:space="preserve">       3.</v>
          </cell>
          <cell r="C319" t="str">
            <v>Biaya Pasti per Jam  :</v>
          </cell>
        </row>
        <row r="320">
          <cell r="C320" t="str">
            <v>a.  Biaya Pengembalian Modal  =</v>
          </cell>
          <cell r="E320" t="str">
            <v>( B' - C ) x D</v>
          </cell>
          <cell r="G320" t="str">
            <v>E</v>
          </cell>
          <cell r="H320">
            <v>85316.9812943453</v>
          </cell>
          <cell r="I320" t="str">
            <v>Rupiah</v>
          </cell>
        </row>
        <row r="321">
          <cell r="E321" t="str">
            <v>W'</v>
          </cell>
        </row>
        <row r="323">
          <cell r="C323" t="str">
            <v>b.  Asuransi, dll =</v>
          </cell>
          <cell r="D323">
            <v>2E-3</v>
          </cell>
          <cell r="E323" t="str">
            <v xml:space="preserve">  x   B'</v>
          </cell>
          <cell r="G323" t="str">
            <v>F</v>
          </cell>
          <cell r="H323">
            <v>567</v>
          </cell>
          <cell r="I323" t="str">
            <v>Rupiah</v>
          </cell>
        </row>
        <row r="324">
          <cell r="E324" t="str">
            <v>W'</v>
          </cell>
        </row>
        <row r="326">
          <cell r="C326" t="str">
            <v>Biaya Pasti per Jam             =</v>
          </cell>
          <cell r="E326" t="str">
            <v>( E + F )</v>
          </cell>
          <cell r="G326" t="str">
            <v>G</v>
          </cell>
          <cell r="H326">
            <v>85883.9812943453</v>
          </cell>
          <cell r="I326" t="str">
            <v>Rupiah</v>
          </cell>
        </row>
        <row r="328">
          <cell r="A328" t="str">
            <v>C.</v>
          </cell>
          <cell r="C328" t="str">
            <v>BIAYA OPERASI PER JAM KERJA</v>
          </cell>
        </row>
        <row r="330">
          <cell r="A330" t="str">
            <v xml:space="preserve">       1.</v>
          </cell>
          <cell r="C330" t="str">
            <v xml:space="preserve">Bahan Bakar  =  (0.125-0.175 Ltr/HP/Jam)   x Pw x Ms </v>
          </cell>
          <cell r="G330" t="str">
            <v>H</v>
          </cell>
          <cell r="H330">
            <v>24750</v>
          </cell>
          <cell r="I330" t="str">
            <v>Rupiah</v>
          </cell>
        </row>
        <row r="332">
          <cell r="A332" t="str">
            <v xml:space="preserve">       2.</v>
          </cell>
          <cell r="C332" t="str">
            <v>Pelumas         =  (0.01-0.02 Ltr/HP/Jam) x Pw x Mp</v>
          </cell>
          <cell r="G332" t="str">
            <v>I</v>
          </cell>
          <cell r="H332">
            <v>27000</v>
          </cell>
          <cell r="I332" t="str">
            <v>Rupiah</v>
          </cell>
        </row>
        <row r="334">
          <cell r="A334" t="str">
            <v xml:space="preserve">       3.</v>
          </cell>
          <cell r="C334" t="str">
            <v>Perawatan dan</v>
          </cell>
          <cell r="D334" t="str">
            <v>(12,5 % - 17,5 %)  x  B'</v>
          </cell>
          <cell r="G334" t="str">
            <v>K</v>
          </cell>
          <cell r="H334">
            <v>35437.5</v>
          </cell>
          <cell r="I334" t="str">
            <v>Rupiah</v>
          </cell>
        </row>
        <row r="335">
          <cell r="C335" t="str">
            <v xml:space="preserve">        perbaikan    =</v>
          </cell>
          <cell r="D335" t="str">
            <v>W'</v>
          </cell>
        </row>
        <row r="337">
          <cell r="A337" t="str">
            <v xml:space="preserve">       4.</v>
          </cell>
          <cell r="C337" t="str">
            <v>Operator</v>
          </cell>
          <cell r="D337" t="str">
            <v>=   ( 1  Orang / Jam )  x  U1</v>
          </cell>
          <cell r="G337" t="str">
            <v>L</v>
          </cell>
          <cell r="H337">
            <v>10714.285714285714</v>
          </cell>
          <cell r="I337" t="str">
            <v>Rupiah</v>
          </cell>
        </row>
        <row r="338">
          <cell r="A338" t="str">
            <v xml:space="preserve">       5.</v>
          </cell>
          <cell r="C338" t="str">
            <v>Pembantu Operator</v>
          </cell>
          <cell r="D338" t="str">
            <v>=   ( 1  Orang / Jam )  x  U2</v>
          </cell>
          <cell r="G338" t="str">
            <v>M</v>
          </cell>
          <cell r="H338">
            <v>4000</v>
          </cell>
          <cell r="I338" t="str">
            <v>Rupiah</v>
          </cell>
        </row>
        <row r="340">
          <cell r="C340" t="str">
            <v>Biaya Operasi per Jam        =</v>
          </cell>
          <cell r="E340" t="str">
            <v>(H+I+K+L+M)</v>
          </cell>
          <cell r="G340" t="str">
            <v>P</v>
          </cell>
          <cell r="H340">
            <v>101901.78571428571</v>
          </cell>
          <cell r="I340" t="str">
            <v>Rupiah</v>
          </cell>
        </row>
        <row r="342">
          <cell r="A342" t="str">
            <v>D.</v>
          </cell>
          <cell r="C342" t="str">
            <v>TOTAL BIAYA SEWA ALAT / JAM   =   ( G + P )</v>
          </cell>
          <cell r="G342" t="str">
            <v>S</v>
          </cell>
          <cell r="H342">
            <v>187785.76700863102</v>
          </cell>
          <cell r="I342" t="str">
            <v>Rupiah</v>
          </cell>
        </row>
        <row r="345">
          <cell r="A345" t="str">
            <v>E.</v>
          </cell>
          <cell r="C345" t="str">
            <v>LAIN - LAIN</v>
          </cell>
        </row>
        <row r="346">
          <cell r="A346" t="str">
            <v xml:space="preserve">       1.</v>
          </cell>
          <cell r="C346" t="str">
            <v>Tingkat Suku Bunga</v>
          </cell>
          <cell r="G346" t="str">
            <v>i</v>
          </cell>
          <cell r="H346">
            <v>20</v>
          </cell>
          <cell r="I346" t="str">
            <v>% / Tahun</v>
          </cell>
        </row>
        <row r="347">
          <cell r="A347" t="str">
            <v xml:space="preserve">       2.</v>
          </cell>
          <cell r="C347" t="str">
            <v>Upah Operator / Sopir</v>
          </cell>
          <cell r="G347" t="str">
            <v>U1</v>
          </cell>
          <cell r="H347">
            <v>10714.285714285714</v>
          </cell>
          <cell r="I347" t="str">
            <v>Rp./Jam</v>
          </cell>
        </row>
        <row r="348">
          <cell r="A348" t="str">
            <v xml:space="preserve">       3.</v>
          </cell>
          <cell r="C348" t="str">
            <v>Upah Pembantu Operator / Pmb.Sopir</v>
          </cell>
          <cell r="G348" t="str">
            <v>U2</v>
          </cell>
          <cell r="H348">
            <v>4000</v>
          </cell>
          <cell r="I348" t="str">
            <v>Rp./Jam</v>
          </cell>
        </row>
        <row r="349">
          <cell r="A349" t="str">
            <v xml:space="preserve">       4.</v>
          </cell>
          <cell r="C349" t="str">
            <v>Bahan Bakar Bensin</v>
          </cell>
          <cell r="G349" t="str">
            <v>Mb</v>
          </cell>
          <cell r="H349">
            <v>4500</v>
          </cell>
          <cell r="I349" t="str">
            <v>Liter</v>
          </cell>
        </row>
        <row r="350">
          <cell r="A350" t="str">
            <v xml:space="preserve">       5.</v>
          </cell>
          <cell r="C350" t="str">
            <v>Bahan Bakar Solar</v>
          </cell>
          <cell r="G350" t="str">
            <v>Ms</v>
          </cell>
          <cell r="H350">
            <v>4400</v>
          </cell>
          <cell r="I350" t="str">
            <v>Liter</v>
          </cell>
        </row>
        <row r="351">
          <cell r="A351" t="str">
            <v xml:space="preserve">       6.</v>
          </cell>
          <cell r="C351" t="str">
            <v>Minyak Pelumas</v>
          </cell>
          <cell r="G351" t="str">
            <v>Mp</v>
          </cell>
          <cell r="H351">
            <v>30000</v>
          </cell>
          <cell r="I351" t="str">
            <v>Liter</v>
          </cell>
        </row>
        <row r="352">
          <cell r="A352" t="str">
            <v xml:space="preserve">       7.</v>
          </cell>
          <cell r="C352" t="str">
            <v>PPN diperhitungkan pada lembar Rekapitulasi</v>
          </cell>
        </row>
        <row r="353">
          <cell r="C353" t="str">
            <v>Biaya Pekerjaan</v>
          </cell>
        </row>
        <row r="356">
          <cell r="A356" t="str">
            <v>URAIAN ANALISA ALAT</v>
          </cell>
        </row>
        <row r="359">
          <cell r="A359" t="str">
            <v>No.</v>
          </cell>
          <cell r="C359" t="str">
            <v>U R A I A N</v>
          </cell>
          <cell r="G359" t="str">
            <v>KODE</v>
          </cell>
          <cell r="H359" t="str">
            <v>KOEF.</v>
          </cell>
          <cell r="I359" t="str">
            <v>SATUAN</v>
          </cell>
          <cell r="J359" t="str">
            <v>KET.</v>
          </cell>
        </row>
        <row r="362">
          <cell r="A362" t="str">
            <v>A.</v>
          </cell>
          <cell r="C362" t="str">
            <v>URAIAN PERALATAN</v>
          </cell>
        </row>
        <row r="363">
          <cell r="A363" t="str">
            <v xml:space="preserve">       1.</v>
          </cell>
          <cell r="C363" t="str">
            <v>Jenis Peralatan</v>
          </cell>
          <cell r="G363" t="str">
            <v>WHEEL LOADER 1.0-1.6 M3</v>
          </cell>
          <cell r="J363" t="str">
            <v>E15</v>
          </cell>
        </row>
        <row r="364">
          <cell r="A364" t="str">
            <v xml:space="preserve">       2.</v>
          </cell>
          <cell r="C364" t="str">
            <v>Tenaga</v>
          </cell>
          <cell r="G364" t="str">
            <v>Pw</v>
          </cell>
          <cell r="H364">
            <v>105</v>
          </cell>
          <cell r="I364" t="str">
            <v>HP</v>
          </cell>
        </row>
        <row r="365">
          <cell r="A365" t="str">
            <v xml:space="preserve">       3.</v>
          </cell>
          <cell r="C365" t="str">
            <v>Kapasitas</v>
          </cell>
          <cell r="G365" t="str">
            <v>Cp</v>
          </cell>
          <cell r="H365">
            <v>1.5</v>
          </cell>
          <cell r="I365" t="str">
            <v>M3</v>
          </cell>
        </row>
        <row r="366">
          <cell r="A366" t="str">
            <v xml:space="preserve">       4.</v>
          </cell>
          <cell r="C366" t="str">
            <v>Alat Baru                :</v>
          </cell>
          <cell r="D366" t="str">
            <v xml:space="preserve">  a.  Umur Ekonomis</v>
          </cell>
          <cell r="G366" t="str">
            <v>A</v>
          </cell>
          <cell r="H366">
            <v>5</v>
          </cell>
          <cell r="I366" t="str">
            <v>Tahun</v>
          </cell>
        </row>
        <row r="367">
          <cell r="D367" t="str">
            <v xml:space="preserve">  b.  Jam Kerja Dalam 1 Tahun</v>
          </cell>
          <cell r="G367" t="str">
            <v>W</v>
          </cell>
          <cell r="H367">
            <v>2000</v>
          </cell>
          <cell r="I367" t="str">
            <v>Jam</v>
          </cell>
        </row>
        <row r="368">
          <cell r="D368" t="str">
            <v xml:space="preserve">  c.  Harga Alat</v>
          </cell>
          <cell r="G368" t="str">
            <v>B</v>
          </cell>
          <cell r="H368">
            <v>650000000</v>
          </cell>
          <cell r="I368" t="str">
            <v>Rupiah</v>
          </cell>
        </row>
        <row r="369">
          <cell r="A369" t="str">
            <v xml:space="preserve">       5.</v>
          </cell>
          <cell r="C369" t="str">
            <v>Alat Yang Dipakai  :</v>
          </cell>
          <cell r="D369" t="str">
            <v xml:space="preserve">  a.  Umur Ekonomis</v>
          </cell>
          <cell r="G369" t="str">
            <v>A'</v>
          </cell>
          <cell r="H369">
            <v>5</v>
          </cell>
          <cell r="I369" t="str">
            <v>Tahun</v>
          </cell>
          <cell r="J369" t="str">
            <v xml:space="preserve"> Alat Baru</v>
          </cell>
        </row>
        <row r="370">
          <cell r="D370" t="str">
            <v xml:space="preserve">  b.  Jam Kerja Dalam 1 Tahun </v>
          </cell>
          <cell r="G370" t="str">
            <v>W'</v>
          </cell>
          <cell r="H370">
            <v>2000</v>
          </cell>
          <cell r="I370" t="str">
            <v>Jam</v>
          </cell>
          <cell r="J370" t="str">
            <v xml:space="preserve"> Alat Baru</v>
          </cell>
        </row>
        <row r="371">
          <cell r="D371" t="str">
            <v xml:space="preserve">  c.  Harga Alat   (*)</v>
          </cell>
          <cell r="G371" t="str">
            <v>B'</v>
          </cell>
          <cell r="H371">
            <v>650000000</v>
          </cell>
          <cell r="I371" t="str">
            <v>Rupiah</v>
          </cell>
          <cell r="J371" t="str">
            <v xml:space="preserve"> Alat Baru</v>
          </cell>
        </row>
        <row r="373">
          <cell r="A373" t="str">
            <v>B.</v>
          </cell>
          <cell r="C373" t="str">
            <v>BIAYA PASTI PER JAM KERJA</v>
          </cell>
        </row>
        <row r="374">
          <cell r="A374" t="str">
            <v xml:space="preserve">       1.</v>
          </cell>
          <cell r="C374" t="str">
            <v>Nilai Sisa Alat</v>
          </cell>
          <cell r="D374" t="str">
            <v>=  10 % x B</v>
          </cell>
          <cell r="G374" t="str">
            <v>C</v>
          </cell>
          <cell r="H374">
            <v>65000000</v>
          </cell>
          <cell r="I374" t="str">
            <v>Rupiah</v>
          </cell>
        </row>
        <row r="376">
          <cell r="A376" t="str">
            <v xml:space="preserve">       2.</v>
          </cell>
          <cell r="C376" t="str">
            <v>Faktor Angsuran Modal    =</v>
          </cell>
          <cell r="E376" t="str">
            <v>i x (1 + i)^A'</v>
          </cell>
          <cell r="G376" t="str">
            <v>D</v>
          </cell>
          <cell r="H376">
            <v>0.33437970328961514</v>
          </cell>
          <cell r="I376" t="str">
            <v>-</v>
          </cell>
        </row>
        <row r="377">
          <cell r="E377" t="str">
            <v>(1 + i)^A' - 1</v>
          </cell>
        </row>
        <row r="378">
          <cell r="A378" t="str">
            <v xml:space="preserve">       3.</v>
          </cell>
          <cell r="C378" t="str">
            <v>Biaya Pasti per Jam  :</v>
          </cell>
        </row>
        <row r="379">
          <cell r="C379" t="str">
            <v>a.  Biaya Pengembalian Modal  =</v>
          </cell>
          <cell r="E379" t="str">
            <v>( B' - C ) x D</v>
          </cell>
          <cell r="G379" t="str">
            <v>E</v>
          </cell>
          <cell r="H379">
            <v>97806.063212212423</v>
          </cell>
          <cell r="I379" t="str">
            <v>Rupiah</v>
          </cell>
        </row>
        <row r="380">
          <cell r="E380" t="str">
            <v>W'</v>
          </cell>
        </row>
        <row r="382">
          <cell r="C382" t="str">
            <v>b.  Asuransi, dll =</v>
          </cell>
          <cell r="D382">
            <v>2E-3</v>
          </cell>
          <cell r="E382" t="str">
            <v xml:space="preserve">  x   B'</v>
          </cell>
          <cell r="G382" t="str">
            <v>F</v>
          </cell>
          <cell r="H382">
            <v>650</v>
          </cell>
          <cell r="I382" t="str">
            <v>Rupiah</v>
          </cell>
        </row>
        <row r="383">
          <cell r="E383" t="str">
            <v>W'</v>
          </cell>
        </row>
        <row r="385">
          <cell r="C385" t="str">
            <v>Biaya Pasti per Jam             =</v>
          </cell>
          <cell r="E385" t="str">
            <v>( E + F )</v>
          </cell>
          <cell r="G385" t="str">
            <v>G</v>
          </cell>
          <cell r="H385">
            <v>98456.063212212423</v>
          </cell>
          <cell r="I385" t="str">
            <v>Rupiah</v>
          </cell>
        </row>
        <row r="387">
          <cell r="A387" t="str">
            <v>C.</v>
          </cell>
          <cell r="C387" t="str">
            <v>BIAYA OPERASI PER JAM KERJA</v>
          </cell>
        </row>
        <row r="389">
          <cell r="A389" t="str">
            <v xml:space="preserve">       1.</v>
          </cell>
          <cell r="C389" t="str">
            <v xml:space="preserve">Bahan Bakar  =  (0.125-0.175 Ltr/HP/Jam)   x Pw x Ms </v>
          </cell>
          <cell r="G389" t="str">
            <v>H</v>
          </cell>
          <cell r="H389">
            <v>54468.75</v>
          </cell>
          <cell r="I389" t="str">
            <v>Rupiah</v>
          </cell>
        </row>
        <row r="391">
          <cell r="A391" t="str">
            <v xml:space="preserve">       2.</v>
          </cell>
          <cell r="C391" t="str">
            <v>Pelumas         =  (0.01-0.02 Ltr/HP/Jam) x Pw x Mp</v>
          </cell>
          <cell r="G391" t="str">
            <v>I</v>
          </cell>
          <cell r="H391">
            <v>31500</v>
          </cell>
          <cell r="I391" t="str">
            <v>Rupiah</v>
          </cell>
        </row>
        <row r="393">
          <cell r="A393" t="str">
            <v xml:space="preserve">       3.</v>
          </cell>
          <cell r="C393" t="str">
            <v>Perawatan dan</v>
          </cell>
          <cell r="D393" t="str">
            <v>(12,5 % - 17,5 %)  x  B'</v>
          </cell>
          <cell r="G393" t="str">
            <v>K</v>
          </cell>
          <cell r="H393">
            <v>40625</v>
          </cell>
          <cell r="I393" t="str">
            <v>Rupiah</v>
          </cell>
        </row>
        <row r="394">
          <cell r="C394" t="str">
            <v xml:space="preserve">        perbaikan    =</v>
          </cell>
          <cell r="D394" t="str">
            <v>W'</v>
          </cell>
        </row>
        <row r="396">
          <cell r="A396" t="str">
            <v xml:space="preserve">       4.</v>
          </cell>
          <cell r="C396" t="str">
            <v>Operator</v>
          </cell>
          <cell r="D396" t="str">
            <v>=   ( 1  Orang / Jam )  x  U1</v>
          </cell>
          <cell r="G396" t="str">
            <v>L</v>
          </cell>
          <cell r="H396">
            <v>10714.285714285714</v>
          </cell>
          <cell r="I396" t="str">
            <v>Rupiah</v>
          </cell>
        </row>
        <row r="397">
          <cell r="A397" t="str">
            <v xml:space="preserve">       5.</v>
          </cell>
          <cell r="C397" t="str">
            <v>Pembantu Operator</v>
          </cell>
          <cell r="D397" t="str">
            <v>=   ( 1  Orang / Jam )  x  U2</v>
          </cell>
          <cell r="G397" t="str">
            <v>M</v>
          </cell>
          <cell r="H397">
            <v>4000</v>
          </cell>
          <cell r="I397" t="str">
            <v>Rupiah</v>
          </cell>
        </row>
        <row r="399">
          <cell r="C399" t="str">
            <v>Biaya Operasi per Jam        =</v>
          </cell>
          <cell r="E399" t="str">
            <v>(H+I+K+L+M)</v>
          </cell>
          <cell r="G399" t="str">
            <v>P</v>
          </cell>
          <cell r="H399">
            <v>141308.03571428571</v>
          </cell>
          <cell r="I399" t="str">
            <v>Rupiah</v>
          </cell>
        </row>
        <row r="401">
          <cell r="A401" t="str">
            <v>D.</v>
          </cell>
          <cell r="C401" t="str">
            <v>TOTAL BIAYA SEWA ALAT / JAM   =   ( G + P )</v>
          </cell>
          <cell r="G401" t="str">
            <v>S</v>
          </cell>
          <cell r="H401">
            <v>239764.09892649815</v>
          </cell>
          <cell r="I401" t="str">
            <v>Rupiah</v>
          </cell>
        </row>
        <row r="404">
          <cell r="A404" t="str">
            <v>E.</v>
          </cell>
          <cell r="C404" t="str">
            <v>LAIN - LAIN</v>
          </cell>
        </row>
        <row r="405">
          <cell r="A405" t="str">
            <v xml:space="preserve">       1.</v>
          </cell>
          <cell r="C405" t="str">
            <v>Tingkat Suku Bunga</v>
          </cell>
          <cell r="G405" t="str">
            <v>i</v>
          </cell>
          <cell r="H405">
            <v>20</v>
          </cell>
          <cell r="I405" t="str">
            <v>% / Tahun</v>
          </cell>
        </row>
        <row r="406">
          <cell r="A406" t="str">
            <v xml:space="preserve">       2.</v>
          </cell>
          <cell r="C406" t="str">
            <v>Upah Operator / Sopir</v>
          </cell>
          <cell r="G406" t="str">
            <v>U1</v>
          </cell>
          <cell r="H406">
            <v>10714.285714285714</v>
          </cell>
          <cell r="I406" t="str">
            <v>Rp./Jam</v>
          </cell>
        </row>
        <row r="407">
          <cell r="A407" t="str">
            <v xml:space="preserve">       3.</v>
          </cell>
          <cell r="C407" t="str">
            <v>Upah Pembantu Operator / Pmb.Sopir</v>
          </cell>
          <cell r="G407" t="str">
            <v>U2</v>
          </cell>
          <cell r="H407">
            <v>4000</v>
          </cell>
          <cell r="I407" t="str">
            <v>Rp./Jam</v>
          </cell>
        </row>
        <row r="408">
          <cell r="A408" t="str">
            <v xml:space="preserve">       4.</v>
          </cell>
          <cell r="C408" t="str">
            <v>Bahan Bakar Bensin</v>
          </cell>
          <cell r="G408" t="str">
            <v>Mb</v>
          </cell>
          <cell r="H408">
            <v>4500</v>
          </cell>
          <cell r="I408" t="str">
            <v>Liter</v>
          </cell>
        </row>
        <row r="409">
          <cell r="A409" t="str">
            <v xml:space="preserve">       5.</v>
          </cell>
          <cell r="C409" t="str">
            <v>Bahan Bakar Solar</v>
          </cell>
          <cell r="G409" t="str">
            <v>Ms</v>
          </cell>
          <cell r="H409">
            <v>4400</v>
          </cell>
          <cell r="I409" t="str">
            <v>Liter</v>
          </cell>
        </row>
        <row r="410">
          <cell r="A410" t="str">
            <v xml:space="preserve">       6.</v>
          </cell>
          <cell r="C410" t="str">
            <v>Minyak Pelumas</v>
          </cell>
          <cell r="G410" t="str">
            <v>Mp</v>
          </cell>
          <cell r="H410">
            <v>30000</v>
          </cell>
          <cell r="I410" t="str">
            <v>Liter</v>
          </cell>
        </row>
        <row r="411">
          <cell r="A411" t="str">
            <v xml:space="preserve">       7.</v>
          </cell>
          <cell r="C411" t="str">
            <v>PPN diperhitungkan pada lembar Rekapitulasi</v>
          </cell>
        </row>
        <row r="412">
          <cell r="C412" t="str">
            <v>Biaya Pekerjaan</v>
          </cell>
        </row>
        <row r="415">
          <cell r="A415" t="str">
            <v>URAIAN ANALISA ALAT</v>
          </cell>
        </row>
        <row r="418">
          <cell r="A418" t="str">
            <v>No.</v>
          </cell>
          <cell r="C418" t="str">
            <v>U R A I A N</v>
          </cell>
          <cell r="G418" t="str">
            <v>KODE</v>
          </cell>
          <cell r="H418" t="str">
            <v>KOEF.</v>
          </cell>
          <cell r="I418" t="str">
            <v>SATUAN</v>
          </cell>
          <cell r="J418" t="str">
            <v>KET.</v>
          </cell>
        </row>
        <row r="421">
          <cell r="A421" t="str">
            <v>A.</v>
          </cell>
          <cell r="C421" t="str">
            <v>URAIAN PERALATAN</v>
          </cell>
        </row>
        <row r="422">
          <cell r="A422" t="str">
            <v xml:space="preserve">       1.</v>
          </cell>
          <cell r="C422" t="str">
            <v>Jenis Peralatan</v>
          </cell>
          <cell r="G422" t="str">
            <v>VIBRATORY ROLLER 5-8 T.</v>
          </cell>
          <cell r="J422" t="str">
            <v>E19</v>
          </cell>
        </row>
        <row r="423">
          <cell r="A423" t="str">
            <v xml:space="preserve">       2.</v>
          </cell>
          <cell r="C423" t="str">
            <v>Tenaga</v>
          </cell>
          <cell r="G423" t="str">
            <v>Pw</v>
          </cell>
          <cell r="H423">
            <v>75</v>
          </cell>
          <cell r="I423" t="str">
            <v>HP</v>
          </cell>
        </row>
        <row r="424">
          <cell r="A424" t="str">
            <v xml:space="preserve">       3.</v>
          </cell>
          <cell r="C424" t="str">
            <v>Kapasitas</v>
          </cell>
          <cell r="G424" t="str">
            <v>Cp</v>
          </cell>
          <cell r="H424">
            <v>7</v>
          </cell>
          <cell r="I424" t="str">
            <v>Ton</v>
          </cell>
        </row>
        <row r="425">
          <cell r="A425" t="str">
            <v xml:space="preserve">       4.</v>
          </cell>
          <cell r="C425" t="str">
            <v>Alat Baru                :</v>
          </cell>
          <cell r="D425" t="str">
            <v xml:space="preserve">  a.  Umur Ekonomis</v>
          </cell>
          <cell r="G425" t="str">
            <v>A</v>
          </cell>
          <cell r="H425">
            <v>4</v>
          </cell>
          <cell r="I425" t="str">
            <v>Tahun</v>
          </cell>
        </row>
        <row r="426">
          <cell r="D426" t="str">
            <v xml:space="preserve">  b.  Jam Kerja Dalam 1 Tahun</v>
          </cell>
          <cell r="G426" t="str">
            <v>W</v>
          </cell>
          <cell r="H426">
            <v>2000</v>
          </cell>
          <cell r="I426" t="str">
            <v>Jam</v>
          </cell>
        </row>
        <row r="427">
          <cell r="D427" t="str">
            <v xml:space="preserve">  c.  Harga Alat</v>
          </cell>
          <cell r="G427" t="str">
            <v>B</v>
          </cell>
          <cell r="H427">
            <v>392000000</v>
          </cell>
          <cell r="I427" t="str">
            <v>Rupiah</v>
          </cell>
        </row>
        <row r="428">
          <cell r="A428" t="str">
            <v xml:space="preserve">       5.</v>
          </cell>
          <cell r="C428" t="str">
            <v>Alat Yang Dipakai  :</v>
          </cell>
          <cell r="D428" t="str">
            <v xml:space="preserve">  a.  Umur Ekonomis</v>
          </cell>
          <cell r="G428" t="str">
            <v>A'</v>
          </cell>
          <cell r="H428">
            <v>4</v>
          </cell>
          <cell r="I428" t="str">
            <v>Tahun</v>
          </cell>
          <cell r="J428" t="str">
            <v xml:space="preserve"> Alat Baru</v>
          </cell>
        </row>
        <row r="429">
          <cell r="D429" t="str">
            <v xml:space="preserve">  b.  Jam Kerja Dalam 1 Tahun </v>
          </cell>
          <cell r="G429" t="str">
            <v>W'</v>
          </cell>
          <cell r="H429">
            <v>2000</v>
          </cell>
          <cell r="I429" t="str">
            <v>Jam</v>
          </cell>
          <cell r="J429" t="str">
            <v xml:space="preserve"> Alat Baru</v>
          </cell>
        </row>
        <row r="430">
          <cell r="D430" t="str">
            <v xml:space="preserve">  c.  Harga Alat   (*)</v>
          </cell>
          <cell r="G430" t="str">
            <v>B'</v>
          </cell>
          <cell r="H430">
            <v>392000000</v>
          </cell>
          <cell r="I430" t="str">
            <v>Rupiah</v>
          </cell>
          <cell r="J430" t="str">
            <v xml:space="preserve"> Alat Baru</v>
          </cell>
        </row>
        <row r="432">
          <cell r="A432" t="str">
            <v>B.</v>
          </cell>
          <cell r="C432" t="str">
            <v>BIAYA PASTI PER JAM KERJA</v>
          </cell>
          <cell r="H432" t="str">
            <v>RFH</v>
          </cell>
        </row>
        <row r="433">
          <cell r="A433" t="str">
            <v xml:space="preserve">       1.</v>
          </cell>
          <cell r="C433" t="str">
            <v>Nilai Sisa Alat</v>
          </cell>
          <cell r="D433" t="str">
            <v>=  10 % x B</v>
          </cell>
          <cell r="G433" t="str">
            <v>C</v>
          </cell>
          <cell r="H433">
            <v>39200000</v>
          </cell>
          <cell r="I433" t="str">
            <v>Rupiah</v>
          </cell>
        </row>
        <row r="435">
          <cell r="A435" t="str">
            <v xml:space="preserve">       2.</v>
          </cell>
          <cell r="C435" t="str">
            <v>Faktor Angsuran Modal    =</v>
          </cell>
          <cell r="E435" t="str">
            <v>i x (1 + i)^A'</v>
          </cell>
          <cell r="G435" t="str">
            <v>D</v>
          </cell>
          <cell r="H435">
            <v>0.38628912071535026</v>
          </cell>
          <cell r="I435" t="str">
            <v>-</v>
          </cell>
        </row>
        <row r="436">
          <cell r="E436" t="str">
            <v>(1 + i)^A' - 1</v>
          </cell>
        </row>
        <row r="437">
          <cell r="A437" t="str">
            <v xml:space="preserve">       3.</v>
          </cell>
          <cell r="C437" t="str">
            <v>Biaya Pasti per Jam  :</v>
          </cell>
        </row>
        <row r="438">
          <cell r="C438" t="str">
            <v>a.  Biaya Pengembalian Modal  =</v>
          </cell>
          <cell r="E438" t="str">
            <v>( B' - C ) x D</v>
          </cell>
          <cell r="G438" t="str">
            <v>E</v>
          </cell>
          <cell r="H438">
            <v>68141.400894187798</v>
          </cell>
          <cell r="I438" t="str">
            <v>Rupiah</v>
          </cell>
        </row>
        <row r="439">
          <cell r="E439" t="str">
            <v>W'</v>
          </cell>
        </row>
        <row r="441">
          <cell r="C441" t="str">
            <v>b.  Asuransi, dll =</v>
          </cell>
          <cell r="D441">
            <v>2E-3</v>
          </cell>
          <cell r="E441" t="str">
            <v xml:space="preserve">  x   B'</v>
          </cell>
          <cell r="G441" t="str">
            <v>F</v>
          </cell>
          <cell r="H441">
            <v>392</v>
          </cell>
          <cell r="I441" t="str">
            <v>Rupiah</v>
          </cell>
        </row>
        <row r="442">
          <cell r="E442" t="str">
            <v>W'</v>
          </cell>
        </row>
        <row r="444">
          <cell r="C444" t="str">
            <v>Biaya Pasti per Jam             =</v>
          </cell>
          <cell r="E444" t="str">
            <v>( E + F )</v>
          </cell>
          <cell r="G444" t="str">
            <v>G</v>
          </cell>
          <cell r="H444">
            <v>68533.400894187798</v>
          </cell>
          <cell r="I444" t="str">
            <v>Rupiah</v>
          </cell>
        </row>
        <row r="446">
          <cell r="A446" t="str">
            <v>C.</v>
          </cell>
          <cell r="C446" t="str">
            <v>BIAYA OPERASI PER JAM KERJA</v>
          </cell>
        </row>
        <row r="448">
          <cell r="A448" t="str">
            <v xml:space="preserve">       1.</v>
          </cell>
          <cell r="C448" t="str">
            <v xml:space="preserve">Bahan Bakar  =  (0.125-0.175 Ltr/HP/Jam)   x Pw x Ms </v>
          </cell>
          <cell r="G448" t="str">
            <v>H</v>
          </cell>
          <cell r="H448">
            <v>38906.25</v>
          </cell>
          <cell r="I448" t="str">
            <v>Rupiah</v>
          </cell>
        </row>
        <row r="450">
          <cell r="A450" t="str">
            <v xml:space="preserve">       2.</v>
          </cell>
          <cell r="C450" t="str">
            <v>Pelumas         =  (0.01-0.02 Ltr/HP/Jam) x Pw x Mp</v>
          </cell>
          <cell r="G450" t="str">
            <v>I</v>
          </cell>
          <cell r="H450">
            <v>22500</v>
          </cell>
          <cell r="I450" t="str">
            <v>Rupiah</v>
          </cell>
        </row>
        <row r="452">
          <cell r="A452" t="str">
            <v xml:space="preserve">       3.</v>
          </cell>
          <cell r="C452" t="str">
            <v>Perawatan dan</v>
          </cell>
          <cell r="D452" t="str">
            <v>(12,5 % - 17,5 %)  x  B'</v>
          </cell>
          <cell r="G452" t="str">
            <v>K</v>
          </cell>
          <cell r="H452">
            <v>24500</v>
          </cell>
          <cell r="I452" t="str">
            <v>Rupiah</v>
          </cell>
        </row>
        <row r="453">
          <cell r="C453" t="str">
            <v xml:space="preserve">        perbaikan    =</v>
          </cell>
          <cell r="D453" t="str">
            <v>W'</v>
          </cell>
        </row>
        <row r="455">
          <cell r="A455" t="str">
            <v xml:space="preserve">       4.</v>
          </cell>
          <cell r="C455" t="str">
            <v>Operator</v>
          </cell>
          <cell r="D455" t="str">
            <v>=   ( 1  Orang / Jam )  x  U1</v>
          </cell>
          <cell r="G455" t="str">
            <v>L</v>
          </cell>
          <cell r="H455">
            <v>10714.285714285714</v>
          </cell>
          <cell r="I455" t="str">
            <v>Rupiah</v>
          </cell>
        </row>
        <row r="456">
          <cell r="A456" t="str">
            <v xml:space="preserve">       5.</v>
          </cell>
          <cell r="C456" t="str">
            <v>Pembantu Operator</v>
          </cell>
          <cell r="D456" t="str">
            <v>=   ( 1  Orang / Jam )  x  U2</v>
          </cell>
          <cell r="G456" t="str">
            <v>M</v>
          </cell>
          <cell r="H456">
            <v>4000</v>
          </cell>
          <cell r="I456" t="str">
            <v>Rupiah</v>
          </cell>
        </row>
        <row r="458">
          <cell r="C458" t="str">
            <v>Biaya Operasi per Jam        =</v>
          </cell>
          <cell r="E458" t="str">
            <v>(H+I+K+L+M)</v>
          </cell>
          <cell r="G458" t="str">
            <v>P</v>
          </cell>
          <cell r="H458">
            <v>100620.53571428571</v>
          </cell>
          <cell r="I458" t="str">
            <v>Rupiah</v>
          </cell>
        </row>
        <row r="460">
          <cell r="A460" t="str">
            <v>D.</v>
          </cell>
          <cell r="C460" t="str">
            <v>TOTAL BIAYA SEWA ALAT / JAM   =   ( G + P )</v>
          </cell>
          <cell r="G460" t="str">
            <v>S</v>
          </cell>
          <cell r="H460">
            <v>169153.93660847351</v>
          </cell>
          <cell r="I460" t="str">
            <v>Rupiah</v>
          </cell>
        </row>
        <row r="463">
          <cell r="A463" t="str">
            <v>E.</v>
          </cell>
          <cell r="C463" t="str">
            <v>LAIN - LAIN</v>
          </cell>
        </row>
        <row r="464">
          <cell r="A464" t="str">
            <v xml:space="preserve">       1.</v>
          </cell>
          <cell r="C464" t="str">
            <v>Tingkat Suku Bunga</v>
          </cell>
          <cell r="G464" t="str">
            <v>i</v>
          </cell>
          <cell r="H464">
            <v>20</v>
          </cell>
          <cell r="I464" t="str">
            <v>% / Tahun</v>
          </cell>
        </row>
        <row r="465">
          <cell r="A465" t="str">
            <v xml:space="preserve">       2.</v>
          </cell>
          <cell r="C465" t="str">
            <v>Upah Operator / Sopir</v>
          </cell>
          <cell r="G465" t="str">
            <v>U1</v>
          </cell>
          <cell r="H465">
            <v>10714.285714285714</v>
          </cell>
          <cell r="I465" t="str">
            <v>Rp./Jam</v>
          </cell>
        </row>
        <row r="466">
          <cell r="A466" t="str">
            <v xml:space="preserve">       3.</v>
          </cell>
          <cell r="C466" t="str">
            <v>Upah Pembantu Operator / Pmb.Sopir</v>
          </cell>
          <cell r="G466" t="str">
            <v>U2</v>
          </cell>
          <cell r="H466">
            <v>4000</v>
          </cell>
          <cell r="I466" t="str">
            <v>Rp./Jam</v>
          </cell>
        </row>
        <row r="467">
          <cell r="A467" t="str">
            <v xml:space="preserve">       4.</v>
          </cell>
          <cell r="C467" t="str">
            <v>Bahan Bakar Bensin</v>
          </cell>
          <cell r="G467" t="str">
            <v>Mb</v>
          </cell>
          <cell r="H467">
            <v>4500</v>
          </cell>
          <cell r="I467" t="str">
            <v>Liter</v>
          </cell>
        </row>
        <row r="468">
          <cell r="A468" t="str">
            <v xml:space="preserve">       5.</v>
          </cell>
          <cell r="C468" t="str">
            <v>Bahan Bakar Solar</v>
          </cell>
          <cell r="G468" t="str">
            <v>Ms</v>
          </cell>
          <cell r="H468">
            <v>4400</v>
          </cell>
          <cell r="I468" t="str">
            <v>Liter</v>
          </cell>
        </row>
        <row r="469">
          <cell r="A469" t="str">
            <v xml:space="preserve">       6.</v>
          </cell>
          <cell r="C469" t="str">
            <v>Minyak Pelumas</v>
          </cell>
          <cell r="G469" t="str">
            <v>Mp</v>
          </cell>
          <cell r="H469">
            <v>30000</v>
          </cell>
          <cell r="I469" t="str">
            <v>Liter</v>
          </cell>
        </row>
        <row r="470">
          <cell r="A470" t="str">
            <v xml:space="preserve">       7.</v>
          </cell>
          <cell r="C470" t="str">
            <v>PPN diperhitungkan pada lembar Rekapitulasi</v>
          </cell>
        </row>
        <row r="471">
          <cell r="C471" t="str">
            <v>Biaya Pekerjaan</v>
          </cell>
        </row>
        <row r="474">
          <cell r="A474" t="str">
            <v>URAIAN ANALISA ALAT</v>
          </cell>
        </row>
        <row r="477">
          <cell r="A477" t="str">
            <v>No.</v>
          </cell>
          <cell r="C477" t="str">
            <v>U R A I A N</v>
          </cell>
          <cell r="G477" t="str">
            <v>KODE</v>
          </cell>
          <cell r="H477" t="str">
            <v>KOEF.</v>
          </cell>
          <cell r="I477" t="str">
            <v>SATUAN</v>
          </cell>
          <cell r="J477" t="str">
            <v>KET.</v>
          </cell>
        </row>
        <row r="480">
          <cell r="A480" t="str">
            <v>A.</v>
          </cell>
          <cell r="C480" t="str">
            <v>URAIAN PERALATAN</v>
          </cell>
        </row>
        <row r="481">
          <cell r="A481" t="str">
            <v xml:space="preserve">       1.</v>
          </cell>
          <cell r="C481" t="str">
            <v>Jenis Peralatan</v>
          </cell>
          <cell r="G481" t="str">
            <v>CONCRETE VIBRATOR</v>
          </cell>
          <cell r="J481" t="str">
            <v>E20</v>
          </cell>
        </row>
        <row r="482">
          <cell r="A482" t="str">
            <v xml:space="preserve">       2.</v>
          </cell>
          <cell r="C482" t="str">
            <v>Tenaga</v>
          </cell>
          <cell r="G482" t="str">
            <v>Pw</v>
          </cell>
          <cell r="H482">
            <v>10</v>
          </cell>
          <cell r="I482" t="str">
            <v>HP</v>
          </cell>
        </row>
        <row r="483">
          <cell r="A483" t="str">
            <v xml:space="preserve">       3.</v>
          </cell>
          <cell r="C483" t="str">
            <v>Kapasitas</v>
          </cell>
          <cell r="G483" t="str">
            <v>Cp</v>
          </cell>
          <cell r="H483" t="str">
            <v xml:space="preserve">-  </v>
          </cell>
          <cell r="I483" t="str">
            <v>-</v>
          </cell>
        </row>
        <row r="484">
          <cell r="A484" t="str">
            <v xml:space="preserve">       4.</v>
          </cell>
          <cell r="C484" t="str">
            <v>Alat Baru                :</v>
          </cell>
          <cell r="D484" t="str">
            <v xml:space="preserve">  a.  Umur Ekonomis</v>
          </cell>
          <cell r="G484" t="str">
            <v>A</v>
          </cell>
          <cell r="H484">
            <v>4</v>
          </cell>
          <cell r="I484" t="str">
            <v>Tahun</v>
          </cell>
        </row>
        <row r="485">
          <cell r="D485" t="str">
            <v xml:space="preserve">  b.  Jam Kerja Dalam 1 Tahun</v>
          </cell>
          <cell r="G485" t="str">
            <v>W</v>
          </cell>
          <cell r="H485">
            <v>1000</v>
          </cell>
          <cell r="I485" t="str">
            <v>Jam</v>
          </cell>
        </row>
        <row r="486">
          <cell r="D486" t="str">
            <v xml:space="preserve">  c.  Harga Alat</v>
          </cell>
          <cell r="G486" t="str">
            <v>B</v>
          </cell>
          <cell r="H486">
            <v>19200000</v>
          </cell>
          <cell r="I486" t="str">
            <v>Rupiah</v>
          </cell>
        </row>
        <row r="487">
          <cell r="A487" t="str">
            <v xml:space="preserve">       5.</v>
          </cell>
          <cell r="C487" t="str">
            <v>Alat Yang Dipakai  :</v>
          </cell>
          <cell r="D487" t="str">
            <v xml:space="preserve">  a.  Umur Ekonomis</v>
          </cell>
          <cell r="G487" t="str">
            <v>A'</v>
          </cell>
          <cell r="H487">
            <v>4</v>
          </cell>
          <cell r="I487" t="str">
            <v>Tahun</v>
          </cell>
          <cell r="J487" t="str">
            <v xml:space="preserve"> Alat Baru</v>
          </cell>
        </row>
        <row r="488">
          <cell r="D488" t="str">
            <v xml:space="preserve">  b.  Jam Kerja Dalam 1 Tahun </v>
          </cell>
          <cell r="G488" t="str">
            <v>W'</v>
          </cell>
          <cell r="H488">
            <v>1000</v>
          </cell>
          <cell r="I488" t="str">
            <v>Jam</v>
          </cell>
          <cell r="J488" t="str">
            <v xml:space="preserve"> Alat Baru</v>
          </cell>
        </row>
        <row r="489">
          <cell r="D489" t="str">
            <v xml:space="preserve">  c.  Harga Alat   (*)</v>
          </cell>
          <cell r="G489" t="str">
            <v>B'</v>
          </cell>
          <cell r="H489">
            <v>19200000</v>
          </cell>
          <cell r="I489" t="str">
            <v>Rupiah</v>
          </cell>
          <cell r="J489" t="str">
            <v xml:space="preserve"> Alat Baru</v>
          </cell>
        </row>
        <row r="491">
          <cell r="A491" t="str">
            <v>B.</v>
          </cell>
          <cell r="C491" t="str">
            <v>BIAYA PASTI PER JAM KERJA</v>
          </cell>
        </row>
        <row r="492">
          <cell r="A492" t="str">
            <v xml:space="preserve">       1.</v>
          </cell>
          <cell r="C492" t="str">
            <v>Nilai Sisa Alat</v>
          </cell>
          <cell r="D492" t="str">
            <v>=  10 % x B</v>
          </cell>
          <cell r="G492" t="str">
            <v>C</v>
          </cell>
          <cell r="H492">
            <v>1920000</v>
          </cell>
          <cell r="I492" t="str">
            <v>Rupiah</v>
          </cell>
        </row>
        <row r="494">
          <cell r="A494" t="str">
            <v xml:space="preserve">       2.</v>
          </cell>
          <cell r="C494" t="str">
            <v>Faktor Angsuran Modal    =</v>
          </cell>
          <cell r="E494" t="str">
            <v>i x (1 + i)^A'</v>
          </cell>
          <cell r="G494" t="str">
            <v>D</v>
          </cell>
          <cell r="H494">
            <v>0.38628912071535026</v>
          </cell>
          <cell r="I494" t="str">
            <v>-</v>
          </cell>
        </row>
        <row r="495">
          <cell r="E495" t="str">
            <v>(1 + i)^A' - 1</v>
          </cell>
        </row>
        <row r="496">
          <cell r="A496" t="str">
            <v xml:space="preserve">       3.</v>
          </cell>
          <cell r="C496" t="str">
            <v>Biaya Pasti per Jam  :</v>
          </cell>
        </row>
        <row r="497">
          <cell r="C497" t="str">
            <v>a.  Biaya Pengembalian Modal  =</v>
          </cell>
          <cell r="E497" t="str">
            <v>( B' - C ) x D</v>
          </cell>
          <cell r="G497" t="str">
            <v>E</v>
          </cell>
          <cell r="H497">
            <v>6675.0760059612521</v>
          </cell>
          <cell r="I497" t="str">
            <v>Rupiah</v>
          </cell>
        </row>
        <row r="498">
          <cell r="E498" t="str">
            <v>W'</v>
          </cell>
        </row>
        <row r="500">
          <cell r="C500" t="str">
            <v>b.  Asuransi, dll =</v>
          </cell>
          <cell r="D500">
            <v>2E-3</v>
          </cell>
          <cell r="E500" t="str">
            <v xml:space="preserve">  x   B'</v>
          </cell>
          <cell r="G500" t="str">
            <v>F</v>
          </cell>
          <cell r="H500">
            <v>38.4</v>
          </cell>
          <cell r="I500" t="str">
            <v>Rupiah</v>
          </cell>
        </row>
        <row r="501">
          <cell r="E501" t="str">
            <v>W'</v>
          </cell>
        </row>
        <row r="503">
          <cell r="C503" t="str">
            <v>Biaya Pasti per Jam             =</v>
          </cell>
          <cell r="E503" t="str">
            <v>( E + F )</v>
          </cell>
          <cell r="G503" t="str">
            <v>G</v>
          </cell>
          <cell r="H503">
            <v>6713.4760059612518</v>
          </cell>
          <cell r="I503" t="str">
            <v>Rupiah</v>
          </cell>
        </row>
        <row r="505">
          <cell r="A505" t="str">
            <v>C.</v>
          </cell>
          <cell r="C505" t="str">
            <v>BIAYA OPERASI PER JAM KERJA</v>
          </cell>
        </row>
        <row r="507">
          <cell r="A507" t="str">
            <v xml:space="preserve">       1.</v>
          </cell>
          <cell r="C507" t="str">
            <v xml:space="preserve">Bahan Bakar  =  (0.125-0.175 Ltr/HP/Jam)   x Pw x Ms </v>
          </cell>
          <cell r="G507" t="str">
            <v>H</v>
          </cell>
          <cell r="H507">
            <v>5187.5</v>
          </cell>
          <cell r="I507" t="str">
            <v>Rupiah</v>
          </cell>
        </row>
        <row r="509">
          <cell r="A509" t="str">
            <v xml:space="preserve">       2.</v>
          </cell>
          <cell r="C509" t="str">
            <v>Pelumas         =  (0.01-0.02 Ltr/HP/Jam) x Pw x Mp</v>
          </cell>
          <cell r="G509" t="str">
            <v>I</v>
          </cell>
          <cell r="H509">
            <v>3000</v>
          </cell>
          <cell r="I509" t="str">
            <v>Rupiah</v>
          </cell>
        </row>
        <row r="511">
          <cell r="A511" t="str">
            <v xml:space="preserve">       3.</v>
          </cell>
          <cell r="C511" t="str">
            <v>Perawatan dan</v>
          </cell>
          <cell r="D511" t="str">
            <v>(12,5 % - 17,5 %)  x  B'</v>
          </cell>
          <cell r="G511" t="str">
            <v>K</v>
          </cell>
          <cell r="H511">
            <v>2400</v>
          </cell>
          <cell r="I511" t="str">
            <v>Rupiah</v>
          </cell>
        </row>
        <row r="512">
          <cell r="C512" t="str">
            <v xml:space="preserve">        perbaikan    =</v>
          </cell>
          <cell r="D512" t="str">
            <v>W'</v>
          </cell>
        </row>
        <row r="514">
          <cell r="A514" t="str">
            <v xml:space="preserve">       4.</v>
          </cell>
          <cell r="C514" t="str">
            <v>Operator</v>
          </cell>
          <cell r="D514" t="str">
            <v>=   ( 1  Orang / Jam )  x  U1</v>
          </cell>
          <cell r="G514" t="str">
            <v>L</v>
          </cell>
          <cell r="H514">
            <v>10714.285714285714</v>
          </cell>
          <cell r="I514" t="str">
            <v>Rupiah</v>
          </cell>
        </row>
        <row r="515">
          <cell r="A515" t="str">
            <v xml:space="preserve">       5.</v>
          </cell>
          <cell r="C515" t="str">
            <v>Pembantu Operator</v>
          </cell>
          <cell r="D515" t="str">
            <v>=   ( 1  Orang / Jam )  x  U2</v>
          </cell>
          <cell r="G515" t="str">
            <v>M</v>
          </cell>
          <cell r="H515">
            <v>4000</v>
          </cell>
          <cell r="I515" t="str">
            <v>Rupiah</v>
          </cell>
        </row>
        <row r="517">
          <cell r="C517" t="str">
            <v>Biaya Operasi per Jam        =</v>
          </cell>
          <cell r="E517" t="str">
            <v>(H+I+K+L+M)</v>
          </cell>
          <cell r="G517" t="str">
            <v>P</v>
          </cell>
          <cell r="H517">
            <v>25301.785714285714</v>
          </cell>
          <cell r="I517" t="str">
            <v>Rupiah</v>
          </cell>
        </row>
        <row r="519">
          <cell r="A519" t="str">
            <v>D.</v>
          </cell>
          <cell r="C519" t="str">
            <v>TOTAL BIAYA SEWA ALAT / JAM   =   ( G + P )</v>
          </cell>
          <cell r="G519" t="str">
            <v>S</v>
          </cell>
          <cell r="H519">
            <v>32015.261720246966</v>
          </cell>
          <cell r="I519" t="str">
            <v>Rupiah</v>
          </cell>
        </row>
        <row r="522">
          <cell r="A522" t="str">
            <v>E.</v>
          </cell>
          <cell r="C522" t="str">
            <v>LAIN - LAIN</v>
          </cell>
        </row>
        <row r="523">
          <cell r="A523" t="str">
            <v xml:space="preserve">       1.</v>
          </cell>
          <cell r="C523" t="str">
            <v>Tingkat Suku Bunga</v>
          </cell>
          <cell r="G523" t="str">
            <v>i</v>
          </cell>
          <cell r="H523">
            <v>20</v>
          </cell>
          <cell r="I523" t="str">
            <v>% / Tahun</v>
          </cell>
        </row>
        <row r="524">
          <cell r="A524" t="str">
            <v xml:space="preserve">       2.</v>
          </cell>
          <cell r="C524" t="str">
            <v>Upah Operator / Sopir</v>
          </cell>
          <cell r="G524" t="str">
            <v>U1</v>
          </cell>
          <cell r="H524">
            <v>10714.285714285714</v>
          </cell>
          <cell r="I524" t="str">
            <v>Rp./Jam</v>
          </cell>
        </row>
        <row r="525">
          <cell r="A525" t="str">
            <v xml:space="preserve">       3.</v>
          </cell>
          <cell r="C525" t="str">
            <v>Upah Pembantu Operator / Pmb.Sopir</v>
          </cell>
          <cell r="G525" t="str">
            <v>U2</v>
          </cell>
          <cell r="H525">
            <v>4000</v>
          </cell>
          <cell r="I525" t="str">
            <v>Rp./Jam</v>
          </cell>
        </row>
        <row r="526">
          <cell r="A526" t="str">
            <v xml:space="preserve">       4.</v>
          </cell>
          <cell r="C526" t="str">
            <v>Bahan Bakar Bensin</v>
          </cell>
          <cell r="G526" t="str">
            <v>Mb</v>
          </cell>
          <cell r="H526">
            <v>4500</v>
          </cell>
          <cell r="I526" t="str">
            <v>Liter</v>
          </cell>
        </row>
        <row r="527">
          <cell r="A527" t="str">
            <v xml:space="preserve">       5.</v>
          </cell>
          <cell r="C527" t="str">
            <v>Bahan Bakar Solar</v>
          </cell>
          <cell r="G527" t="str">
            <v>Ms</v>
          </cell>
          <cell r="H527">
            <v>4400</v>
          </cell>
          <cell r="I527" t="str">
            <v>Liter</v>
          </cell>
        </row>
        <row r="528">
          <cell r="A528" t="str">
            <v xml:space="preserve">       6.</v>
          </cell>
          <cell r="C528" t="str">
            <v>Minyak Pelumas</v>
          </cell>
          <cell r="G528" t="str">
            <v>Mp</v>
          </cell>
          <cell r="H528">
            <v>30000</v>
          </cell>
          <cell r="I528" t="str">
            <v>Liter</v>
          </cell>
        </row>
        <row r="529">
          <cell r="A529" t="str">
            <v xml:space="preserve">       7.</v>
          </cell>
          <cell r="C529" t="str">
            <v>PPN diperhitungkan pada lembar Rekapitulasi</v>
          </cell>
        </row>
        <row r="530">
          <cell r="C530" t="str">
            <v>Biaya Pekerjaan</v>
          </cell>
        </row>
        <row r="534">
          <cell r="A534" t="str">
            <v>URAIAN ANALISA ALAT</v>
          </cell>
        </row>
        <row r="537">
          <cell r="A537" t="str">
            <v>No.</v>
          </cell>
          <cell r="C537" t="str">
            <v>U R A I A N</v>
          </cell>
          <cell r="G537" t="str">
            <v>KODE</v>
          </cell>
          <cell r="H537" t="str">
            <v>KOEF.</v>
          </cell>
          <cell r="I537" t="str">
            <v>SATUAN</v>
          </cell>
          <cell r="J537" t="str">
            <v>KET.</v>
          </cell>
        </row>
        <row r="540">
          <cell r="A540" t="str">
            <v>A.</v>
          </cell>
          <cell r="C540" t="str">
            <v>URAIAN PERALATAN</v>
          </cell>
        </row>
        <row r="541">
          <cell r="A541" t="str">
            <v xml:space="preserve">       1.</v>
          </cell>
          <cell r="C541" t="str">
            <v>Jenis Peralatan</v>
          </cell>
          <cell r="G541" t="str">
            <v>WATER PUMP 70-100 mm</v>
          </cell>
          <cell r="J541" t="str">
            <v>E22</v>
          </cell>
        </row>
        <row r="542">
          <cell r="A542" t="str">
            <v xml:space="preserve">       2.</v>
          </cell>
          <cell r="C542" t="str">
            <v>Tenaga</v>
          </cell>
          <cell r="G542" t="str">
            <v>Pw</v>
          </cell>
          <cell r="H542">
            <v>6</v>
          </cell>
          <cell r="I542" t="str">
            <v>HP</v>
          </cell>
        </row>
        <row r="543">
          <cell r="A543" t="str">
            <v xml:space="preserve">       3.</v>
          </cell>
          <cell r="C543" t="str">
            <v>Kapasitas</v>
          </cell>
          <cell r="G543" t="str">
            <v>Cp</v>
          </cell>
          <cell r="H543" t="str">
            <v xml:space="preserve">-  </v>
          </cell>
          <cell r="I543" t="str">
            <v>-</v>
          </cell>
        </row>
        <row r="544">
          <cell r="A544" t="str">
            <v xml:space="preserve">       4.</v>
          </cell>
          <cell r="C544" t="str">
            <v>Alat Baru                :</v>
          </cell>
          <cell r="D544" t="str">
            <v xml:space="preserve">  a.  Umur Ekonomis</v>
          </cell>
          <cell r="G544" t="str">
            <v>A</v>
          </cell>
          <cell r="H544">
            <v>2</v>
          </cell>
          <cell r="I544" t="str">
            <v>Tahun</v>
          </cell>
        </row>
        <row r="545">
          <cell r="D545" t="str">
            <v xml:space="preserve">  b.  Jam Kerja Dalam 1 Tahun</v>
          </cell>
          <cell r="G545" t="str">
            <v>W</v>
          </cell>
          <cell r="H545">
            <v>2000</v>
          </cell>
          <cell r="I545" t="str">
            <v>Jam</v>
          </cell>
        </row>
        <row r="546">
          <cell r="D546" t="str">
            <v xml:space="preserve">  c.  Harga Alat</v>
          </cell>
          <cell r="G546" t="str">
            <v>B</v>
          </cell>
          <cell r="H546">
            <v>18000000</v>
          </cell>
          <cell r="I546" t="str">
            <v>Rupiah</v>
          </cell>
        </row>
        <row r="547">
          <cell r="A547" t="str">
            <v xml:space="preserve">       5.</v>
          </cell>
          <cell r="C547" t="str">
            <v>Alat Yang Dipakai  :</v>
          </cell>
          <cell r="D547" t="str">
            <v xml:space="preserve">  a.  Umur Ekonomis</v>
          </cell>
          <cell r="G547" t="str">
            <v>A'</v>
          </cell>
          <cell r="H547">
            <v>2</v>
          </cell>
          <cell r="I547" t="str">
            <v>Tahun</v>
          </cell>
          <cell r="J547" t="str">
            <v xml:space="preserve"> Alat Baru</v>
          </cell>
        </row>
        <row r="548">
          <cell r="D548" t="str">
            <v xml:space="preserve">  b.  Jam Kerja Dalam 1 Tahun </v>
          </cell>
          <cell r="G548" t="str">
            <v>W'</v>
          </cell>
          <cell r="H548">
            <v>2000</v>
          </cell>
          <cell r="I548" t="str">
            <v>Jam</v>
          </cell>
          <cell r="J548" t="str">
            <v xml:space="preserve"> Alat Baru</v>
          </cell>
        </row>
        <row r="549">
          <cell r="D549" t="str">
            <v xml:space="preserve">  c.  Harga Alat   (*)</v>
          </cell>
          <cell r="G549" t="str">
            <v>B'</v>
          </cell>
          <cell r="H549">
            <v>18000000</v>
          </cell>
          <cell r="I549" t="str">
            <v>Rupiah</v>
          </cell>
          <cell r="J549" t="str">
            <v xml:space="preserve"> Alat Baru</v>
          </cell>
        </row>
        <row r="551">
          <cell r="A551" t="str">
            <v>B.</v>
          </cell>
          <cell r="C551" t="str">
            <v>BIAYA PASTI PER JAM KERJA</v>
          </cell>
        </row>
        <row r="552">
          <cell r="A552" t="str">
            <v xml:space="preserve">       1.</v>
          </cell>
          <cell r="C552" t="str">
            <v>Nilai Sisa Alat</v>
          </cell>
          <cell r="D552" t="str">
            <v>=  10 % x B</v>
          </cell>
          <cell r="G552" t="str">
            <v>C</v>
          </cell>
          <cell r="H552">
            <v>1800000</v>
          </cell>
          <cell r="I552" t="str">
            <v>Rupiah</v>
          </cell>
        </row>
        <row r="554">
          <cell r="A554" t="str">
            <v xml:space="preserve">       2.</v>
          </cell>
          <cell r="C554" t="str">
            <v>Faktor Angsuran Modal    =</v>
          </cell>
          <cell r="E554" t="str">
            <v>i x (1 + i)^A'</v>
          </cell>
          <cell r="G554" t="str">
            <v>D</v>
          </cell>
          <cell r="H554">
            <v>0.65454545454545454</v>
          </cell>
          <cell r="I554" t="str">
            <v>-</v>
          </cell>
        </row>
        <row r="555">
          <cell r="E555" t="str">
            <v>(1 + i)^A' - 1</v>
          </cell>
        </row>
        <row r="556">
          <cell r="A556" t="str">
            <v xml:space="preserve">       3.</v>
          </cell>
          <cell r="C556" t="str">
            <v>Biaya Pasti per Jam  :</v>
          </cell>
        </row>
        <row r="557">
          <cell r="C557" t="str">
            <v>a.  Biaya Pengembalian Modal  =</v>
          </cell>
          <cell r="E557" t="str">
            <v>( B' - C ) x D</v>
          </cell>
          <cell r="G557" t="str">
            <v>E</v>
          </cell>
          <cell r="H557">
            <v>5301.818181818182</v>
          </cell>
          <cell r="I557" t="str">
            <v>Rupiah</v>
          </cell>
        </row>
        <row r="558">
          <cell r="E558" t="str">
            <v>W'</v>
          </cell>
        </row>
        <row r="560">
          <cell r="C560" t="str">
            <v>b.  Asuransi, dll =</v>
          </cell>
          <cell r="D560">
            <v>2E-3</v>
          </cell>
          <cell r="E560" t="str">
            <v xml:space="preserve">  x   B'</v>
          </cell>
          <cell r="G560" t="str">
            <v>F</v>
          </cell>
          <cell r="H560">
            <v>18</v>
          </cell>
          <cell r="I560" t="str">
            <v>Rupiah</v>
          </cell>
        </row>
        <row r="561">
          <cell r="E561" t="str">
            <v>W'</v>
          </cell>
        </row>
        <row r="563">
          <cell r="C563" t="str">
            <v>Biaya Pasti per Jam             =</v>
          </cell>
          <cell r="E563" t="str">
            <v>( E + F )</v>
          </cell>
          <cell r="G563" t="str">
            <v>G</v>
          </cell>
          <cell r="H563">
            <v>5319.818181818182</v>
          </cell>
          <cell r="I563" t="str">
            <v>Rupiah</v>
          </cell>
        </row>
        <row r="565">
          <cell r="A565" t="str">
            <v>C.</v>
          </cell>
          <cell r="C565" t="str">
            <v>BIAYA OPERASI PER JAM KERJA</v>
          </cell>
        </row>
        <row r="567">
          <cell r="A567" t="str">
            <v xml:space="preserve">       1.</v>
          </cell>
          <cell r="C567" t="str">
            <v xml:space="preserve">Bahan Bakar  =  (0.125-0.175 Ltr/HP/Jam)   x Pw x Ms </v>
          </cell>
          <cell r="G567" t="str">
            <v>H</v>
          </cell>
          <cell r="H567">
            <v>3112.5</v>
          </cell>
          <cell r="I567" t="str">
            <v>Rupiah</v>
          </cell>
        </row>
        <row r="569">
          <cell r="A569" t="str">
            <v xml:space="preserve">       2.</v>
          </cell>
          <cell r="C569" t="str">
            <v>Pelumas         =  (0.01-0.02 Ltr/HP/Jam) x Pw x Mp</v>
          </cell>
          <cell r="G569" t="str">
            <v>I</v>
          </cell>
          <cell r="H569">
            <v>1800</v>
          </cell>
          <cell r="I569" t="str">
            <v>Rupiah</v>
          </cell>
        </row>
        <row r="571">
          <cell r="A571" t="str">
            <v xml:space="preserve">       3.</v>
          </cell>
          <cell r="C571" t="str">
            <v>Perawatan dan</v>
          </cell>
          <cell r="D571" t="str">
            <v>(12,5 % - 17,5 %)  x  B'</v>
          </cell>
          <cell r="G571" t="str">
            <v>K</v>
          </cell>
          <cell r="H571">
            <v>1125</v>
          </cell>
          <cell r="I571" t="str">
            <v>Rupiah</v>
          </cell>
        </row>
        <row r="572">
          <cell r="C572" t="str">
            <v xml:space="preserve">        perbaikan    =</v>
          </cell>
          <cell r="D572" t="str">
            <v>W'</v>
          </cell>
        </row>
        <row r="574">
          <cell r="A574" t="str">
            <v xml:space="preserve">       4.</v>
          </cell>
          <cell r="C574" t="str">
            <v>Operator</v>
          </cell>
          <cell r="D574" t="str">
            <v>=   ( 1  Orang / Jam )  x  U1</v>
          </cell>
          <cell r="G574" t="str">
            <v>L</v>
          </cell>
          <cell r="H574">
            <v>10714.285714285714</v>
          </cell>
          <cell r="I574" t="str">
            <v>Rupiah</v>
          </cell>
        </row>
        <row r="575">
          <cell r="A575" t="str">
            <v xml:space="preserve">       5.</v>
          </cell>
          <cell r="C575" t="str">
            <v>Pembantu Operator</v>
          </cell>
          <cell r="D575" t="str">
            <v>=   ( 1  Orang / Jam )  x  U2</v>
          </cell>
          <cell r="G575" t="str">
            <v>M</v>
          </cell>
          <cell r="H575">
            <v>4000</v>
          </cell>
          <cell r="I575" t="str">
            <v>Rupiah</v>
          </cell>
        </row>
        <row r="577">
          <cell r="C577" t="str">
            <v>Biaya Operasi per Jam        =</v>
          </cell>
          <cell r="E577" t="str">
            <v>(H+I+K+L+M)</v>
          </cell>
          <cell r="G577" t="str">
            <v>P</v>
          </cell>
          <cell r="H577">
            <v>20751.785714285714</v>
          </cell>
          <cell r="I577" t="str">
            <v>Rupiah</v>
          </cell>
        </row>
        <row r="579">
          <cell r="A579" t="str">
            <v>D.</v>
          </cell>
          <cell r="C579" t="str">
            <v>TOTAL BIAYA SEWA ALAT / JAM   =   ( G + P )</v>
          </cell>
          <cell r="G579" t="str">
            <v>S</v>
          </cell>
          <cell r="H579">
            <v>26071.603896103894</v>
          </cell>
          <cell r="I579" t="str">
            <v>Rupiah</v>
          </cell>
        </row>
        <row r="582">
          <cell r="A582" t="str">
            <v>E.</v>
          </cell>
          <cell r="C582" t="str">
            <v>LAIN - LAIN</v>
          </cell>
        </row>
        <row r="583">
          <cell r="A583" t="str">
            <v xml:space="preserve">       1.</v>
          </cell>
          <cell r="C583" t="str">
            <v>Tingkat Suku Bunga</v>
          </cell>
          <cell r="G583" t="str">
            <v>i</v>
          </cell>
          <cell r="H583">
            <v>20</v>
          </cell>
          <cell r="I583" t="str">
            <v>% / Tahun</v>
          </cell>
        </row>
        <row r="584">
          <cell r="A584" t="str">
            <v xml:space="preserve">       2.</v>
          </cell>
          <cell r="C584" t="str">
            <v>Upah Operator / Sopir</v>
          </cell>
          <cell r="G584" t="str">
            <v>U1</v>
          </cell>
          <cell r="H584">
            <v>10714.285714285714</v>
          </cell>
          <cell r="I584" t="str">
            <v>Rp./Jam</v>
          </cell>
        </row>
        <row r="585">
          <cell r="A585" t="str">
            <v xml:space="preserve">       3.</v>
          </cell>
          <cell r="C585" t="str">
            <v>Upah Pembantu Operator / Pmb.Sopir</v>
          </cell>
          <cell r="G585" t="str">
            <v>U2</v>
          </cell>
          <cell r="H585">
            <v>4000</v>
          </cell>
          <cell r="I585" t="str">
            <v>Rp./Jam</v>
          </cell>
        </row>
        <row r="586">
          <cell r="A586" t="str">
            <v xml:space="preserve">       4.</v>
          </cell>
          <cell r="C586" t="str">
            <v>Bahan Bakar Bensin</v>
          </cell>
          <cell r="G586" t="str">
            <v>Mb</v>
          </cell>
          <cell r="H586">
            <v>4500</v>
          </cell>
          <cell r="I586" t="str">
            <v>Liter</v>
          </cell>
        </row>
        <row r="587">
          <cell r="A587" t="str">
            <v xml:space="preserve">       5.</v>
          </cell>
          <cell r="C587" t="str">
            <v>Bahan Bakar Solar</v>
          </cell>
          <cell r="G587" t="str">
            <v>Ms</v>
          </cell>
          <cell r="H587">
            <v>4400</v>
          </cell>
          <cell r="I587" t="str">
            <v>Liter</v>
          </cell>
        </row>
        <row r="588">
          <cell r="A588" t="str">
            <v xml:space="preserve">       6.</v>
          </cell>
          <cell r="C588" t="str">
            <v>Minyak Pelumas</v>
          </cell>
          <cell r="G588" t="str">
            <v>Mp</v>
          </cell>
          <cell r="H588">
            <v>30000</v>
          </cell>
          <cell r="I588" t="str">
            <v>Liter</v>
          </cell>
        </row>
        <row r="589">
          <cell r="A589" t="str">
            <v xml:space="preserve">       7.</v>
          </cell>
          <cell r="C589" t="str">
            <v>PPN diperhitungkan pada lembar Rekapitulasi</v>
          </cell>
        </row>
        <row r="590">
          <cell r="C590" t="str">
            <v>Biaya Pekerjaan</v>
          </cell>
        </row>
        <row r="593">
          <cell r="A593" t="str">
            <v>URAIAN ANALISA ALAT</v>
          </cell>
        </row>
        <row r="596">
          <cell r="A596" t="str">
            <v>No.</v>
          </cell>
          <cell r="C596" t="str">
            <v>U R A I A N</v>
          </cell>
          <cell r="G596" t="str">
            <v>KODE</v>
          </cell>
          <cell r="H596" t="str">
            <v>KOEF.</v>
          </cell>
          <cell r="I596" t="str">
            <v>SATUAN</v>
          </cell>
          <cell r="J596" t="str">
            <v>KET.</v>
          </cell>
        </row>
        <row r="599">
          <cell r="A599" t="str">
            <v>A.</v>
          </cell>
          <cell r="C599" t="str">
            <v>URAIAN PERALATAN</v>
          </cell>
        </row>
        <row r="600">
          <cell r="A600" t="str">
            <v xml:space="preserve">       1.</v>
          </cell>
          <cell r="C600" t="str">
            <v>Jenis Peralatan</v>
          </cell>
          <cell r="G600" t="str">
            <v>WATER TANKER 3000-4500 L.</v>
          </cell>
          <cell r="J600" t="str">
            <v>E23</v>
          </cell>
        </row>
        <row r="601">
          <cell r="A601" t="str">
            <v xml:space="preserve">       2.</v>
          </cell>
          <cell r="C601" t="str">
            <v>Tenaga</v>
          </cell>
          <cell r="G601" t="str">
            <v>Pw</v>
          </cell>
          <cell r="H601">
            <v>100</v>
          </cell>
          <cell r="I601" t="str">
            <v>HP</v>
          </cell>
        </row>
        <row r="602">
          <cell r="A602" t="str">
            <v xml:space="preserve">       3.</v>
          </cell>
          <cell r="C602" t="str">
            <v>Kapasitas</v>
          </cell>
          <cell r="G602" t="str">
            <v>Cp</v>
          </cell>
          <cell r="H602">
            <v>4000</v>
          </cell>
          <cell r="I602" t="str">
            <v>Liter</v>
          </cell>
        </row>
        <row r="603">
          <cell r="A603" t="str">
            <v xml:space="preserve">       4.</v>
          </cell>
          <cell r="C603" t="str">
            <v>Alat Baru                :</v>
          </cell>
          <cell r="D603" t="str">
            <v xml:space="preserve">  a.  Umur Ekonomis</v>
          </cell>
          <cell r="G603" t="str">
            <v>A</v>
          </cell>
          <cell r="H603">
            <v>5</v>
          </cell>
          <cell r="I603" t="str">
            <v>Tahun</v>
          </cell>
        </row>
        <row r="604">
          <cell r="D604" t="str">
            <v xml:space="preserve">  b.  Jam Kerja Dalam 1 Tahun</v>
          </cell>
          <cell r="G604" t="str">
            <v>W</v>
          </cell>
          <cell r="H604">
            <v>2000</v>
          </cell>
          <cell r="I604" t="str">
            <v>Jam</v>
          </cell>
        </row>
        <row r="605">
          <cell r="D605" t="str">
            <v xml:space="preserve">  c.  Harga Alat</v>
          </cell>
          <cell r="G605" t="str">
            <v>B</v>
          </cell>
          <cell r="H605">
            <v>132000000</v>
          </cell>
          <cell r="I605" t="str">
            <v>Rupiah</v>
          </cell>
        </row>
        <row r="606">
          <cell r="A606" t="str">
            <v xml:space="preserve">       5.</v>
          </cell>
          <cell r="C606" t="str">
            <v>Alat Yang Dipakai  :</v>
          </cell>
          <cell r="D606" t="str">
            <v xml:space="preserve">  a.  Umur Ekonomis</v>
          </cell>
          <cell r="G606" t="str">
            <v>A'</v>
          </cell>
          <cell r="H606">
            <v>5</v>
          </cell>
          <cell r="I606" t="str">
            <v>Tahun</v>
          </cell>
          <cell r="J606" t="str">
            <v xml:space="preserve"> Alat Baru</v>
          </cell>
        </row>
        <row r="607">
          <cell r="D607" t="str">
            <v xml:space="preserve">  b.  Jam Kerja Dalam 1 Tahun </v>
          </cell>
          <cell r="G607" t="str">
            <v>W'</v>
          </cell>
          <cell r="H607">
            <v>2000</v>
          </cell>
          <cell r="I607" t="str">
            <v>Jam</v>
          </cell>
          <cell r="J607" t="str">
            <v xml:space="preserve"> Alat Baru</v>
          </cell>
        </row>
        <row r="608">
          <cell r="D608" t="str">
            <v xml:space="preserve">  c.  Harga Alat   (*)</v>
          </cell>
          <cell r="G608" t="str">
            <v>B'</v>
          </cell>
          <cell r="H608">
            <v>132000000</v>
          </cell>
          <cell r="I608" t="str">
            <v>Rupiah</v>
          </cell>
          <cell r="J608" t="str">
            <v xml:space="preserve"> Alat Baru</v>
          </cell>
        </row>
        <row r="610">
          <cell r="A610" t="str">
            <v>B.</v>
          </cell>
          <cell r="C610" t="str">
            <v>BIAYA PASTI PER JAM KERJA</v>
          </cell>
        </row>
        <row r="611">
          <cell r="A611" t="str">
            <v xml:space="preserve">       1.</v>
          </cell>
          <cell r="C611" t="str">
            <v>Nilai Sisa Alat</v>
          </cell>
          <cell r="D611" t="str">
            <v>=  10 % x B</v>
          </cell>
          <cell r="G611" t="str">
            <v>C</v>
          </cell>
          <cell r="H611">
            <v>13200000</v>
          </cell>
          <cell r="I611" t="str">
            <v>Rupiah</v>
          </cell>
        </row>
        <row r="613">
          <cell r="A613" t="str">
            <v xml:space="preserve">       2.</v>
          </cell>
          <cell r="C613" t="str">
            <v>Faktor Angsuran Modal    =</v>
          </cell>
          <cell r="E613" t="str">
            <v>i x (1 + i)^A'</v>
          </cell>
          <cell r="G613" t="str">
            <v>D</v>
          </cell>
          <cell r="H613">
            <v>0.33437970328961514</v>
          </cell>
          <cell r="I613" t="str">
            <v>-</v>
          </cell>
        </row>
        <row r="614">
          <cell r="E614" t="str">
            <v>(1 + i)^A' - 1</v>
          </cell>
        </row>
        <row r="615">
          <cell r="A615" t="str">
            <v xml:space="preserve">       3.</v>
          </cell>
          <cell r="C615" t="str">
            <v>Biaya Pasti per Jam  :</v>
          </cell>
        </row>
        <row r="616">
          <cell r="C616" t="str">
            <v>a.  Biaya Pengembalian Modal  =</v>
          </cell>
          <cell r="E616" t="str">
            <v>( B' - C ) x D</v>
          </cell>
          <cell r="G616" t="str">
            <v>E</v>
          </cell>
          <cell r="H616">
            <v>19862.154375403141</v>
          </cell>
          <cell r="I616" t="str">
            <v>Rupiah</v>
          </cell>
        </row>
        <row r="617">
          <cell r="E617" t="str">
            <v>W'</v>
          </cell>
        </row>
        <row r="619">
          <cell r="C619" t="str">
            <v>b.  Asuransi, dll =</v>
          </cell>
          <cell r="D619">
            <v>2E-3</v>
          </cell>
          <cell r="E619" t="str">
            <v xml:space="preserve">  x   B'</v>
          </cell>
          <cell r="G619" t="str">
            <v>F</v>
          </cell>
          <cell r="H619">
            <v>132</v>
          </cell>
          <cell r="I619" t="str">
            <v>Rupiah</v>
          </cell>
        </row>
        <row r="620">
          <cell r="E620" t="str">
            <v>W'</v>
          </cell>
        </row>
        <row r="622">
          <cell r="C622" t="str">
            <v>Biaya Pasti per Jam             =</v>
          </cell>
          <cell r="E622" t="str">
            <v>( E + F )</v>
          </cell>
          <cell r="G622" t="str">
            <v>G</v>
          </cell>
          <cell r="H622">
            <v>19994.154375403141</v>
          </cell>
          <cell r="I622" t="str">
            <v>Rupiah</v>
          </cell>
        </row>
        <row r="624">
          <cell r="A624" t="str">
            <v>C.</v>
          </cell>
          <cell r="C624" t="str">
            <v>BIAYA OPERASI PER JAM KERJA</v>
          </cell>
        </row>
        <row r="626">
          <cell r="A626" t="str">
            <v xml:space="preserve">       1.</v>
          </cell>
          <cell r="C626" t="str">
            <v xml:space="preserve">Bahan Bakar  =  (0.125-0.175 Ltr/HP/Jam)   x Pw x Ms </v>
          </cell>
          <cell r="G626" t="str">
            <v>H</v>
          </cell>
          <cell r="H626">
            <v>27500</v>
          </cell>
          <cell r="I626" t="str">
            <v>Rupiah</v>
          </cell>
        </row>
        <row r="628">
          <cell r="A628" t="str">
            <v xml:space="preserve">       2.</v>
          </cell>
          <cell r="C628" t="str">
            <v>Pelumas         =  (0.01-0.02 Ltr/HP/Jam) x Pw x Mp</v>
          </cell>
          <cell r="G628" t="str">
            <v>I</v>
          </cell>
          <cell r="H628">
            <v>30000</v>
          </cell>
          <cell r="I628" t="str">
            <v>Rupiah</v>
          </cell>
        </row>
        <row r="630">
          <cell r="A630" t="str">
            <v xml:space="preserve">       3.</v>
          </cell>
          <cell r="C630" t="str">
            <v>Perawatan dan</v>
          </cell>
          <cell r="D630" t="str">
            <v>(12,5 % - 17,5 %)  x  B'</v>
          </cell>
          <cell r="G630" t="str">
            <v>K</v>
          </cell>
          <cell r="H630">
            <v>8250</v>
          </cell>
          <cell r="I630" t="str">
            <v>Rupiah</v>
          </cell>
        </row>
        <row r="631">
          <cell r="C631" t="str">
            <v xml:space="preserve">        perbaikan    =</v>
          </cell>
          <cell r="D631" t="str">
            <v>W'</v>
          </cell>
        </row>
        <row r="633">
          <cell r="A633" t="str">
            <v xml:space="preserve">       4.</v>
          </cell>
          <cell r="C633" t="str">
            <v>Operator</v>
          </cell>
          <cell r="D633" t="str">
            <v>=   ( 1  Orang / Jam )  x  U1</v>
          </cell>
          <cell r="G633" t="str">
            <v>L</v>
          </cell>
          <cell r="H633">
            <v>10714.285714285714</v>
          </cell>
          <cell r="I633" t="str">
            <v>Rupiah</v>
          </cell>
        </row>
        <row r="634">
          <cell r="A634" t="str">
            <v xml:space="preserve">       5.</v>
          </cell>
          <cell r="C634" t="str">
            <v>Pembantu Operator</v>
          </cell>
          <cell r="D634" t="str">
            <v>=   ( 1  Orang / Jam )  x  U2</v>
          </cell>
          <cell r="G634" t="str">
            <v>M</v>
          </cell>
          <cell r="H634">
            <v>4000</v>
          </cell>
          <cell r="I634" t="str">
            <v>Rupiah</v>
          </cell>
        </row>
        <row r="636">
          <cell r="C636" t="str">
            <v>Biaya Operasi per Jam        =</v>
          </cell>
          <cell r="E636" t="str">
            <v>(H+I+K+L+M)</v>
          </cell>
          <cell r="G636" t="str">
            <v>P</v>
          </cell>
          <cell r="H636">
            <v>80464.28571428571</v>
          </cell>
          <cell r="I636" t="str">
            <v>Rupiah</v>
          </cell>
        </row>
        <row r="638">
          <cell r="A638" t="str">
            <v>D.</v>
          </cell>
          <cell r="C638" t="str">
            <v>TOTAL BIAYA SEWA ALAT / JAM   =   ( G + P )</v>
          </cell>
          <cell r="G638" t="str">
            <v>S</v>
          </cell>
          <cell r="H638">
            <v>100458.44008968885</v>
          </cell>
          <cell r="I638" t="str">
            <v>Rupiah</v>
          </cell>
        </row>
        <row r="641">
          <cell r="A641" t="str">
            <v>E.</v>
          </cell>
          <cell r="C641" t="str">
            <v>LAIN - LAIN</v>
          </cell>
        </row>
        <row r="642">
          <cell r="A642" t="str">
            <v xml:space="preserve">       1.</v>
          </cell>
          <cell r="C642" t="str">
            <v>Tingkat Suku Bunga</v>
          </cell>
          <cell r="G642" t="str">
            <v>i</v>
          </cell>
          <cell r="H642">
            <v>20</v>
          </cell>
          <cell r="I642" t="str">
            <v>% / Tahun</v>
          </cell>
        </row>
        <row r="643">
          <cell r="A643" t="str">
            <v xml:space="preserve">       2.</v>
          </cell>
          <cell r="C643" t="str">
            <v>Upah Operator / Sopir</v>
          </cell>
          <cell r="G643" t="str">
            <v>U1</v>
          </cell>
          <cell r="H643">
            <v>10714.285714285714</v>
          </cell>
          <cell r="I643" t="str">
            <v>Rp./Jam</v>
          </cell>
        </row>
        <row r="644">
          <cell r="A644" t="str">
            <v xml:space="preserve">       3.</v>
          </cell>
          <cell r="C644" t="str">
            <v>Upah Pembantu Operator / Pmb.Sopir</v>
          </cell>
          <cell r="G644" t="str">
            <v>U2</v>
          </cell>
          <cell r="H644">
            <v>4000</v>
          </cell>
          <cell r="I644" t="str">
            <v>Rp./Jam</v>
          </cell>
        </row>
        <row r="645">
          <cell r="A645" t="str">
            <v xml:space="preserve">       4.</v>
          </cell>
          <cell r="C645" t="str">
            <v>Bahan Bakar Bensin</v>
          </cell>
          <cell r="G645" t="str">
            <v>Mb</v>
          </cell>
          <cell r="H645">
            <v>4500</v>
          </cell>
          <cell r="I645" t="str">
            <v>Liter</v>
          </cell>
        </row>
        <row r="646">
          <cell r="A646" t="str">
            <v xml:space="preserve">       5.</v>
          </cell>
          <cell r="C646" t="str">
            <v>Bahan Bakar Solar</v>
          </cell>
          <cell r="G646" t="str">
            <v>Ms</v>
          </cell>
          <cell r="H646">
            <v>4400</v>
          </cell>
          <cell r="I646" t="str">
            <v>Liter</v>
          </cell>
        </row>
        <row r="647">
          <cell r="A647" t="str">
            <v xml:space="preserve">       6.</v>
          </cell>
          <cell r="C647" t="str">
            <v>Minyak Pelumas</v>
          </cell>
          <cell r="G647" t="str">
            <v>Mp</v>
          </cell>
          <cell r="H647">
            <v>30000</v>
          </cell>
          <cell r="I647" t="str">
            <v>Liter</v>
          </cell>
        </row>
        <row r="648">
          <cell r="A648" t="str">
            <v xml:space="preserve">       7.</v>
          </cell>
          <cell r="C648" t="str">
            <v>PPN diperhitungkan pada lembar Rekapitulasi</v>
          </cell>
        </row>
        <row r="649">
          <cell r="C649" t="str">
            <v>Biaya Pekerjaan</v>
          </cell>
        </row>
        <row r="711">
          <cell r="A711" t="str">
            <v>URAIAN ANALISA ALAT</v>
          </cell>
        </row>
        <row r="714">
          <cell r="A714" t="str">
            <v>No.</v>
          </cell>
          <cell r="C714" t="str">
            <v>U R A I A N</v>
          </cell>
          <cell r="G714" t="str">
            <v>KODE</v>
          </cell>
          <cell r="H714" t="str">
            <v>KOEF.</v>
          </cell>
          <cell r="I714" t="str">
            <v>SATUAN</v>
          </cell>
          <cell r="J714" t="str">
            <v>KET.</v>
          </cell>
        </row>
        <row r="717">
          <cell r="A717" t="str">
            <v>A.</v>
          </cell>
          <cell r="C717" t="str">
            <v>URAIAN PERALATAN</v>
          </cell>
        </row>
        <row r="718">
          <cell r="A718" t="str">
            <v xml:space="preserve">       1.</v>
          </cell>
          <cell r="C718" t="str">
            <v>Jenis Peralatan</v>
          </cell>
          <cell r="G718" t="str">
            <v>JACK HAMMER</v>
          </cell>
          <cell r="J718" t="str">
            <v>E26</v>
          </cell>
        </row>
        <row r="719">
          <cell r="A719" t="str">
            <v xml:space="preserve">       2.</v>
          </cell>
          <cell r="C719" t="str">
            <v>Tenaga</v>
          </cell>
          <cell r="G719" t="str">
            <v>Pw</v>
          </cell>
          <cell r="H719">
            <v>3</v>
          </cell>
          <cell r="I719" t="str">
            <v>HP</v>
          </cell>
        </row>
        <row r="720">
          <cell r="A720" t="str">
            <v xml:space="preserve">       3.</v>
          </cell>
          <cell r="C720" t="str">
            <v>Kapasitas</v>
          </cell>
          <cell r="G720" t="str">
            <v>Cp</v>
          </cell>
          <cell r="H720" t="str">
            <v xml:space="preserve">-  </v>
          </cell>
          <cell r="I720" t="str">
            <v>-</v>
          </cell>
        </row>
        <row r="721">
          <cell r="A721" t="str">
            <v xml:space="preserve">       4.</v>
          </cell>
          <cell r="C721" t="str">
            <v>Alat Baru                :</v>
          </cell>
          <cell r="D721" t="str">
            <v xml:space="preserve">  a.  Umur Ekonomis</v>
          </cell>
          <cell r="G721" t="str">
            <v>A</v>
          </cell>
          <cell r="H721">
            <v>4</v>
          </cell>
          <cell r="I721" t="str">
            <v>Tahun</v>
          </cell>
        </row>
        <row r="722">
          <cell r="D722" t="str">
            <v xml:space="preserve">  b.  Jam Kerja Dalam 1 Tahun</v>
          </cell>
          <cell r="G722" t="str">
            <v>W</v>
          </cell>
          <cell r="H722">
            <v>1000</v>
          </cell>
          <cell r="I722" t="str">
            <v>Jam</v>
          </cell>
        </row>
        <row r="723">
          <cell r="D723" t="str">
            <v xml:space="preserve">  c.  Harga Alat</v>
          </cell>
          <cell r="G723" t="str">
            <v>B</v>
          </cell>
          <cell r="H723">
            <v>26500000</v>
          </cell>
          <cell r="I723" t="str">
            <v>Rupiah</v>
          </cell>
        </row>
        <row r="724">
          <cell r="A724" t="str">
            <v xml:space="preserve">       5.</v>
          </cell>
          <cell r="C724" t="str">
            <v>Alat Yang Dipakai  :</v>
          </cell>
          <cell r="D724" t="str">
            <v xml:space="preserve">  a.  Umur Ekonomis</v>
          </cell>
          <cell r="G724" t="str">
            <v>A'</v>
          </cell>
          <cell r="H724">
            <v>4</v>
          </cell>
          <cell r="I724" t="str">
            <v>Tahun</v>
          </cell>
          <cell r="J724" t="str">
            <v xml:space="preserve"> Alat Baru</v>
          </cell>
        </row>
        <row r="725">
          <cell r="D725" t="str">
            <v xml:space="preserve">  b.  Jam Kerja Dalam 1 Tahun </v>
          </cell>
          <cell r="G725" t="str">
            <v>W'</v>
          </cell>
          <cell r="H725">
            <v>1000</v>
          </cell>
          <cell r="I725" t="str">
            <v>Jam</v>
          </cell>
          <cell r="J725" t="str">
            <v xml:space="preserve"> Alat Baru</v>
          </cell>
        </row>
        <row r="726">
          <cell r="D726" t="str">
            <v xml:space="preserve">  c.  Harga Alat   (*)</v>
          </cell>
          <cell r="G726" t="str">
            <v>B'</v>
          </cell>
          <cell r="H726">
            <v>26500000</v>
          </cell>
          <cell r="I726" t="str">
            <v>Rupiah</v>
          </cell>
          <cell r="J726" t="str">
            <v xml:space="preserve"> Alat Baru</v>
          </cell>
        </row>
        <row r="728">
          <cell r="A728" t="str">
            <v>B.</v>
          </cell>
          <cell r="C728" t="str">
            <v>BIAYA PASTI PER JAM KERJA</v>
          </cell>
        </row>
        <row r="729">
          <cell r="A729" t="str">
            <v xml:space="preserve">       1.</v>
          </cell>
          <cell r="C729" t="str">
            <v>Nilai Sisa Alat</v>
          </cell>
          <cell r="D729" t="str">
            <v>=  10 % x B</v>
          </cell>
          <cell r="G729" t="str">
            <v>C</v>
          </cell>
          <cell r="H729">
            <v>2650000</v>
          </cell>
          <cell r="I729" t="str">
            <v>Rupiah</v>
          </cell>
        </row>
        <row r="731">
          <cell r="A731" t="str">
            <v xml:space="preserve">       2.</v>
          </cell>
          <cell r="C731" t="str">
            <v>Faktor Angsuran Modal    =</v>
          </cell>
          <cell r="E731" t="str">
            <v>i x (1 + i)^A'</v>
          </cell>
          <cell r="G731" t="str">
            <v>D</v>
          </cell>
          <cell r="H731">
            <v>0.38628912071535026</v>
          </cell>
          <cell r="I731" t="str">
            <v>-</v>
          </cell>
        </row>
        <row r="732">
          <cell r="E732" t="str">
            <v>(1 + i)^A' - 1</v>
          </cell>
        </row>
        <row r="733">
          <cell r="A733" t="str">
            <v xml:space="preserve">       3.</v>
          </cell>
          <cell r="C733" t="str">
            <v>Biaya Pasti per Jam  :</v>
          </cell>
        </row>
        <row r="734">
          <cell r="C734" t="str">
            <v>a.  Biaya Pengembalian Modal  =</v>
          </cell>
          <cell r="E734" t="str">
            <v>( B' - C ) x D</v>
          </cell>
          <cell r="G734" t="str">
            <v>E</v>
          </cell>
          <cell r="H734">
            <v>9212.9955290611033</v>
          </cell>
          <cell r="I734" t="str">
            <v>Rupiah</v>
          </cell>
        </row>
        <row r="735">
          <cell r="E735" t="str">
            <v>W'</v>
          </cell>
        </row>
        <row r="737">
          <cell r="C737" t="str">
            <v>b.  Asuransi, dll =</v>
          </cell>
          <cell r="D737">
            <v>2E-3</v>
          </cell>
          <cell r="E737" t="str">
            <v xml:space="preserve">  x   B'</v>
          </cell>
          <cell r="G737" t="str">
            <v>F</v>
          </cell>
          <cell r="H737">
            <v>53</v>
          </cell>
          <cell r="I737" t="str">
            <v>Rupiah</v>
          </cell>
        </row>
        <row r="738">
          <cell r="E738" t="str">
            <v>W'</v>
          </cell>
        </row>
        <row r="740">
          <cell r="C740" t="str">
            <v>Biaya Pasti per Jam             =</v>
          </cell>
          <cell r="E740" t="str">
            <v>( E + F )</v>
          </cell>
          <cell r="G740" t="str">
            <v>G</v>
          </cell>
          <cell r="H740">
            <v>9265.9955290611033</v>
          </cell>
          <cell r="I740" t="str">
            <v>Rupiah</v>
          </cell>
        </row>
        <row r="742">
          <cell r="A742" t="str">
            <v>C.</v>
          </cell>
          <cell r="C742" t="str">
            <v>BIAYA OPERASI PER JAM KERJA</v>
          </cell>
        </row>
        <row r="744">
          <cell r="A744" t="str">
            <v xml:space="preserve">       1.</v>
          </cell>
          <cell r="C744" t="str">
            <v xml:space="preserve">Bahan Bakar  =  (0.125-0.175 Ltr/HP/Jam)   x Pw x Ms </v>
          </cell>
          <cell r="G744" t="str">
            <v>H</v>
          </cell>
          <cell r="H744">
            <v>825</v>
          </cell>
          <cell r="I744" t="str">
            <v>Rupiah</v>
          </cell>
        </row>
        <row r="746">
          <cell r="A746" t="str">
            <v xml:space="preserve">       2.</v>
          </cell>
          <cell r="C746" t="str">
            <v>Pelumas         =  (0.01-0.02 Ltr/HP/Jam) x Pw x Mp</v>
          </cell>
          <cell r="G746" t="str">
            <v>I</v>
          </cell>
          <cell r="H746">
            <v>900</v>
          </cell>
          <cell r="I746" t="str">
            <v>Rupiah</v>
          </cell>
        </row>
        <row r="748">
          <cell r="A748" t="str">
            <v xml:space="preserve">       3.</v>
          </cell>
          <cell r="C748" t="str">
            <v>Perawatan dan</v>
          </cell>
          <cell r="D748" t="str">
            <v>(12,5 % - 17,5 %)  x  B'</v>
          </cell>
          <cell r="G748" t="str">
            <v>K</v>
          </cell>
          <cell r="H748">
            <v>3312.5</v>
          </cell>
          <cell r="I748" t="str">
            <v>Rupiah</v>
          </cell>
        </row>
        <row r="749">
          <cell r="C749" t="str">
            <v xml:space="preserve">        perbaikan    =</v>
          </cell>
          <cell r="D749" t="str">
            <v>W'</v>
          </cell>
        </row>
        <row r="751">
          <cell r="A751" t="str">
            <v xml:space="preserve">       4.</v>
          </cell>
          <cell r="C751" t="str">
            <v>Operator</v>
          </cell>
          <cell r="D751" t="str">
            <v>=   ( 1  Orang / Jam )  x  U1</v>
          </cell>
          <cell r="G751" t="str">
            <v>L</v>
          </cell>
          <cell r="H751">
            <v>10714.285714285714</v>
          </cell>
          <cell r="I751" t="str">
            <v>Rupiah</v>
          </cell>
        </row>
        <row r="752">
          <cell r="A752" t="str">
            <v xml:space="preserve">       5.</v>
          </cell>
          <cell r="C752" t="str">
            <v>Pembantu Operator</v>
          </cell>
          <cell r="D752" t="str">
            <v>=   ( 1  Orang / Jam )  x  U2</v>
          </cell>
          <cell r="G752" t="str">
            <v>M</v>
          </cell>
          <cell r="H752">
            <v>4000</v>
          </cell>
          <cell r="I752" t="str">
            <v>Rupiah</v>
          </cell>
        </row>
        <row r="754">
          <cell r="C754" t="str">
            <v>Biaya Operasi per Jam        =</v>
          </cell>
          <cell r="E754" t="str">
            <v>(H+I+K+L+M)</v>
          </cell>
          <cell r="G754" t="str">
            <v>P</v>
          </cell>
          <cell r="H754">
            <v>19751.785714285714</v>
          </cell>
          <cell r="I754" t="str">
            <v>Rupiah</v>
          </cell>
        </row>
        <row r="756">
          <cell r="A756" t="str">
            <v>D.</v>
          </cell>
          <cell r="C756" t="str">
            <v>TOTAL BIAYA SEWA ALAT / JAM   =   ( G + P )</v>
          </cell>
          <cell r="G756" t="str">
            <v>S</v>
          </cell>
          <cell r="H756">
            <v>29017.781243346817</v>
          </cell>
          <cell r="I756" t="str">
            <v>Rupiah</v>
          </cell>
        </row>
        <row r="759">
          <cell r="A759" t="str">
            <v>E.</v>
          </cell>
          <cell r="C759" t="str">
            <v>LAIN - LAIN</v>
          </cell>
        </row>
        <row r="760">
          <cell r="A760" t="str">
            <v xml:space="preserve">       1.</v>
          </cell>
          <cell r="C760" t="str">
            <v>Tingkat Suku Bunga</v>
          </cell>
          <cell r="G760" t="str">
            <v>i</v>
          </cell>
          <cell r="H760">
            <v>20</v>
          </cell>
          <cell r="I760" t="str">
            <v>% / Tahun</v>
          </cell>
        </row>
        <row r="761">
          <cell r="A761" t="str">
            <v xml:space="preserve">       2.</v>
          </cell>
          <cell r="C761" t="str">
            <v>Upah Operator / Sopir</v>
          </cell>
          <cell r="G761" t="str">
            <v>U1</v>
          </cell>
          <cell r="H761">
            <v>10714.285714285714</v>
          </cell>
          <cell r="I761" t="str">
            <v>Rp./Jam</v>
          </cell>
        </row>
        <row r="762">
          <cell r="A762" t="str">
            <v xml:space="preserve">       3.</v>
          </cell>
          <cell r="C762" t="str">
            <v>Upah Pembantu Operator / Pmb.Sopir</v>
          </cell>
          <cell r="G762" t="str">
            <v>U2</v>
          </cell>
          <cell r="H762">
            <v>4000</v>
          </cell>
          <cell r="I762" t="str">
            <v>Rp./Jam</v>
          </cell>
        </row>
        <row r="763">
          <cell r="A763" t="str">
            <v xml:space="preserve">       4.</v>
          </cell>
          <cell r="C763" t="str">
            <v>Bahan Bakar Bensin</v>
          </cell>
          <cell r="G763" t="str">
            <v>Mb</v>
          </cell>
          <cell r="H763">
            <v>4500</v>
          </cell>
          <cell r="I763" t="str">
            <v>Liter</v>
          </cell>
        </row>
        <row r="764">
          <cell r="A764" t="str">
            <v xml:space="preserve">       5.</v>
          </cell>
          <cell r="C764" t="str">
            <v>Bahan Bakar Solar</v>
          </cell>
          <cell r="G764" t="str">
            <v>Ms</v>
          </cell>
          <cell r="H764">
            <v>4400</v>
          </cell>
          <cell r="I764" t="str">
            <v>Liter</v>
          </cell>
        </row>
        <row r="765">
          <cell r="A765" t="str">
            <v xml:space="preserve">       6.</v>
          </cell>
          <cell r="C765" t="str">
            <v>Minyak Pelumas</v>
          </cell>
          <cell r="G765" t="str">
            <v>Mp</v>
          </cell>
          <cell r="H765">
            <v>30000</v>
          </cell>
          <cell r="I765" t="str">
            <v>Liter</v>
          </cell>
        </row>
        <row r="766">
          <cell r="A766" t="str">
            <v xml:space="preserve">       7.</v>
          </cell>
          <cell r="C766" t="str">
            <v>PPN diperhitungkan pada lembar Rekapitulasi</v>
          </cell>
        </row>
        <row r="767">
          <cell r="C767" t="str">
            <v>Biaya Pekerjaan</v>
          </cell>
        </row>
      </sheetData>
      <sheetData sheetId="4">
        <row r="2">
          <cell r="A2" t="str">
            <v>ITEM PEMBAYARAN NO.</v>
          </cell>
          <cell r="D2" t="str">
            <v>:  7.6 (8)</v>
          </cell>
          <cell r="J2" t="str">
            <v>Analisa EI-768</v>
          </cell>
        </row>
        <row r="3">
          <cell r="A3" t="str">
            <v>JENIS PEKERJAAN</v>
          </cell>
          <cell r="D3" t="str">
            <v>:  Pengadaan Tiang Pancang Baja</v>
          </cell>
        </row>
        <row r="4">
          <cell r="A4" t="str">
            <v>SATUAN PEMBAYARAN</v>
          </cell>
          <cell r="D4" t="str">
            <v>:  Kg</v>
          </cell>
          <cell r="H4" t="str">
            <v xml:space="preserve">        URAIAN ANALISA HARGA SATUAN</v>
          </cell>
        </row>
        <row r="7">
          <cell r="A7" t="str">
            <v>No.</v>
          </cell>
          <cell r="C7" t="str">
            <v>U R A I A N</v>
          </cell>
          <cell r="G7" t="str">
            <v>KODE</v>
          </cell>
          <cell r="H7" t="str">
            <v>KOEF.</v>
          </cell>
          <cell r="I7" t="str">
            <v>SATUAN</v>
          </cell>
          <cell r="J7" t="str">
            <v>KETERANGAN</v>
          </cell>
        </row>
        <row r="10">
          <cell r="A10" t="str">
            <v>I.</v>
          </cell>
          <cell r="C10" t="str">
            <v>ASUMSI</v>
          </cell>
        </row>
        <row r="11">
          <cell r="A11">
            <v>1</v>
          </cell>
          <cell r="C11" t="str">
            <v>Menggunakan alat (cara mekanik)</v>
          </cell>
        </row>
        <row r="12">
          <cell r="A12">
            <v>2</v>
          </cell>
          <cell r="C12" t="str">
            <v>Lokasi pekerjaan : di lokasi</v>
          </cell>
        </row>
        <row r="13">
          <cell r="A13">
            <v>3</v>
          </cell>
          <cell r="C13" t="str">
            <v>Jarak rata-rata Base camp ke lokasi pekerjaan</v>
          </cell>
          <cell r="G13" t="str">
            <v>L</v>
          </cell>
          <cell r="H13">
            <v>23.5</v>
          </cell>
          <cell r="I13" t="str">
            <v>Km</v>
          </cell>
        </row>
        <row r="14">
          <cell r="A14">
            <v>4</v>
          </cell>
          <cell r="C14" t="str">
            <v>Jam kerja efektif per-hari</v>
          </cell>
          <cell r="G14" t="str">
            <v>Tk</v>
          </cell>
          <cell r="H14">
            <v>7</v>
          </cell>
          <cell r="I14" t="str">
            <v>jam</v>
          </cell>
        </row>
        <row r="15">
          <cell r="A15">
            <v>4</v>
          </cell>
          <cell r="C15" t="str">
            <v>Ukuran diameter tiang pancang (sesuai keperluan)</v>
          </cell>
          <cell r="G15" t="str">
            <v>Uk</v>
          </cell>
          <cell r="H15">
            <v>600</v>
          </cell>
          <cell r="I15" t="str">
            <v>mm</v>
          </cell>
        </row>
        <row r="16">
          <cell r="A16">
            <v>5</v>
          </cell>
          <cell r="C16" t="str">
            <v>Tebal tiang</v>
          </cell>
          <cell r="G16" t="str">
            <v>t</v>
          </cell>
          <cell r="H16">
            <v>12.7</v>
          </cell>
          <cell r="I16" t="str">
            <v>mm</v>
          </cell>
        </row>
        <row r="17">
          <cell r="A17">
            <v>6</v>
          </cell>
          <cell r="C17" t="str">
            <v>Berat per-meter tiang</v>
          </cell>
          <cell r="G17" t="str">
            <v>b</v>
          </cell>
          <cell r="H17">
            <v>187</v>
          </cell>
          <cell r="I17" t="str">
            <v>kg</v>
          </cell>
        </row>
        <row r="18">
          <cell r="A18">
            <v>7</v>
          </cell>
          <cell r="C18" t="str">
            <v>Panjang Tiang (sesuai keperluan)</v>
          </cell>
          <cell r="G18" t="str">
            <v>p</v>
          </cell>
          <cell r="H18">
            <v>12</v>
          </cell>
          <cell r="I18" t="str">
            <v>M</v>
          </cell>
        </row>
        <row r="19">
          <cell r="A19">
            <v>8</v>
          </cell>
          <cell r="C19" t="str">
            <v>Jarak pelabuhan ke Base Camp</v>
          </cell>
          <cell r="G19" t="str">
            <v>Ld2</v>
          </cell>
          <cell r="H19">
            <v>80</v>
          </cell>
          <cell r="I19" t="str">
            <v>Km</v>
          </cell>
        </row>
        <row r="21">
          <cell r="A21" t="str">
            <v>II.</v>
          </cell>
          <cell r="C21" t="str">
            <v>URUTAN KERJA</v>
          </cell>
        </row>
        <row r="22">
          <cell r="A22">
            <v>1</v>
          </cell>
          <cell r="C22" t="str">
            <v>Material pipa didatangkan dari pelabuhan ke lokasi</v>
          </cell>
        </row>
        <row r="23">
          <cell r="C23" t="str">
            <v>dengan Trailer</v>
          </cell>
        </row>
        <row r="24">
          <cell r="A24">
            <v>2</v>
          </cell>
          <cell r="C24" t="str">
            <v>Di lokasi pekerjaan dibuatkan sepatu pancang</v>
          </cell>
        </row>
        <row r="25">
          <cell r="C25" t="str">
            <v xml:space="preserve">dan penyambungan pipa </v>
          </cell>
        </row>
        <row r="26">
          <cell r="A26">
            <v>3</v>
          </cell>
          <cell r="C26" t="str">
            <v>Penyambungan pipa dengan las listrik</v>
          </cell>
        </row>
        <row r="28">
          <cell r="A28" t="str">
            <v>III.</v>
          </cell>
          <cell r="C28" t="str">
            <v>PEMAKAIAN BAHAN, ALAT DAN TENAGA</v>
          </cell>
        </row>
        <row r="30">
          <cell r="A30" t="str">
            <v xml:space="preserve">   1.</v>
          </cell>
          <cell r="C30" t="str">
            <v>BAHAN</v>
          </cell>
        </row>
        <row r="31">
          <cell r="A31" t="str">
            <v>1.a.</v>
          </cell>
          <cell r="C31" t="str">
            <v>Pipa baja tiang pancang</v>
          </cell>
          <cell r="G31" t="str">
            <v>(M52)</v>
          </cell>
          <cell r="H31">
            <v>1.05</v>
          </cell>
          <cell r="I31" t="str">
            <v>Kg</v>
          </cell>
        </row>
        <row r="32">
          <cell r="C32" t="str">
            <v>Plat Baja</v>
          </cell>
          <cell r="D32" t="str">
            <v>(untuk penyambungan)</v>
          </cell>
          <cell r="G32" t="str">
            <v>(M48)</v>
          </cell>
          <cell r="H32">
            <v>0.20999950892979899</v>
          </cell>
          <cell r="I32" t="str">
            <v>Kg</v>
          </cell>
        </row>
        <row r="33">
          <cell r="C33" t="str">
            <v>Kawat Las</v>
          </cell>
          <cell r="D33" t="str">
            <v>(untuk sepatu &amp; penyambungan)</v>
          </cell>
          <cell r="G33" t="str">
            <v>(M51)</v>
          </cell>
          <cell r="H33">
            <v>0.05</v>
          </cell>
          <cell r="I33" t="str">
            <v>Dos</v>
          </cell>
        </row>
        <row r="35">
          <cell r="A35" t="str">
            <v>2.</v>
          </cell>
          <cell r="C35" t="str">
            <v>ALAT</v>
          </cell>
        </row>
        <row r="36">
          <cell r="A36" t="str">
            <v>2.a.</v>
          </cell>
          <cell r="C36" t="str">
            <v>TRAILER</v>
          </cell>
          <cell r="G36" t="str">
            <v>(E29)</v>
          </cell>
        </row>
        <row r="37">
          <cell r="C37" t="str">
            <v>Kapasitas bak sekali muat</v>
          </cell>
          <cell r="G37" t="str">
            <v>V</v>
          </cell>
          <cell r="H37">
            <v>5</v>
          </cell>
          <cell r="I37" t="str">
            <v>batang</v>
          </cell>
        </row>
        <row r="38">
          <cell r="C38" t="str">
            <v>Faktor efisiensi alat</v>
          </cell>
          <cell r="G38" t="str">
            <v>Fa</v>
          </cell>
          <cell r="H38">
            <v>0.83</v>
          </cell>
        </row>
        <row r="39">
          <cell r="C39" t="str">
            <v>Kecepatanrata-rata bermuatan</v>
          </cell>
          <cell r="G39" t="str">
            <v>v1</v>
          </cell>
          <cell r="H39">
            <v>40</v>
          </cell>
          <cell r="I39" t="str">
            <v>Km/Jam</v>
          </cell>
        </row>
        <row r="40">
          <cell r="C40" t="str">
            <v>Kecepatan rata-rata kosong</v>
          </cell>
          <cell r="G40" t="str">
            <v>v2</v>
          </cell>
          <cell r="H40">
            <v>60</v>
          </cell>
          <cell r="I40" t="str">
            <v>Km/Jam</v>
          </cell>
        </row>
        <row r="41">
          <cell r="C41" t="str">
            <v>Waktu siklus    :</v>
          </cell>
          <cell r="G41" t="str">
            <v>Ts1</v>
          </cell>
        </row>
        <row r="42">
          <cell r="C42" t="str">
            <v>- Waktu tempuh isi  = (Ld2 : v1 ) x 60</v>
          </cell>
          <cell r="G42" t="str">
            <v>T1</v>
          </cell>
          <cell r="H42">
            <v>120</v>
          </cell>
          <cell r="I42" t="str">
            <v>menit</v>
          </cell>
        </row>
        <row r="43">
          <cell r="C43" t="str">
            <v>- Waktu tempuh kosong  = (Ld2 : v2)  x  60</v>
          </cell>
          <cell r="G43" t="str">
            <v>T2</v>
          </cell>
          <cell r="H43">
            <v>80</v>
          </cell>
          <cell r="I43" t="str">
            <v>menit</v>
          </cell>
        </row>
        <row r="44">
          <cell r="C44" t="str">
            <v>-  Lain-lain (bongkar dan muat)</v>
          </cell>
          <cell r="G44" t="str">
            <v>T3</v>
          </cell>
          <cell r="H44">
            <v>85</v>
          </cell>
          <cell r="I44" t="str">
            <v>menit</v>
          </cell>
        </row>
        <row r="45">
          <cell r="G45" t="str">
            <v>Ts1</v>
          </cell>
          <cell r="H45">
            <v>285</v>
          </cell>
          <cell r="I45" t="str">
            <v>menit</v>
          </cell>
        </row>
        <row r="47">
          <cell r="C47" t="str">
            <v>Kapasitas Produksi / Jam   =</v>
          </cell>
          <cell r="E47" t="str">
            <v>V1 x p x Fa x 60</v>
          </cell>
          <cell r="G47" t="str">
            <v>Q1</v>
          </cell>
          <cell r="H47">
            <v>10.48421052631579</v>
          </cell>
          <cell r="I47" t="str">
            <v>M'</v>
          </cell>
        </row>
        <row r="48">
          <cell r="E48" t="str">
            <v>Ts1</v>
          </cell>
          <cell r="H48">
            <v>1960.5473684210529</v>
          </cell>
          <cell r="I48" t="str">
            <v>Kg</v>
          </cell>
        </row>
        <row r="50">
          <cell r="C50" t="str">
            <v>Koefisien Alat / kg</v>
          </cell>
          <cell r="D50" t="str">
            <v>= 1 : Q1</v>
          </cell>
          <cell r="G50" t="str">
            <v>(E29)</v>
          </cell>
          <cell r="H50">
            <v>5.100616369220196E-4</v>
          </cell>
          <cell r="I50" t="str">
            <v>Jam</v>
          </cell>
        </row>
        <row r="52">
          <cell r="A52" t="str">
            <v>2.b</v>
          </cell>
          <cell r="C52" t="str">
            <v xml:space="preserve">CRANE </v>
          </cell>
          <cell r="G52" t="str">
            <v>(E07)</v>
          </cell>
        </row>
        <row r="53">
          <cell r="C53" t="str">
            <v>Kapasitas</v>
          </cell>
          <cell r="G53" t="str">
            <v>V2</v>
          </cell>
          <cell r="H53">
            <v>3</v>
          </cell>
          <cell r="I53" t="str">
            <v>batang</v>
          </cell>
        </row>
        <row r="54">
          <cell r="C54" t="str">
            <v>Faktor Efisiensi alat</v>
          </cell>
          <cell r="G54" t="str">
            <v>Fa</v>
          </cell>
          <cell r="H54">
            <v>0.83</v>
          </cell>
          <cell r="I54" t="str">
            <v>-</v>
          </cell>
        </row>
        <row r="55">
          <cell r="C55" t="str">
            <v>Waktu siklus</v>
          </cell>
        </row>
        <row r="56">
          <cell r="C56" t="str">
            <v>- Waktu menurunkan</v>
          </cell>
          <cell r="G56" t="str">
            <v>T4</v>
          </cell>
          <cell r="H56">
            <v>30</v>
          </cell>
          <cell r="I56" t="str">
            <v>menit</v>
          </cell>
          <cell r="J56" t="str">
            <v>Lumpsum</v>
          </cell>
        </row>
        <row r="57">
          <cell r="C57" t="str">
            <v>- dan lain-lain ( termasuk mengatur dan menggeser)</v>
          </cell>
          <cell r="G57" t="str">
            <v>T5</v>
          </cell>
          <cell r="H57">
            <v>20</v>
          </cell>
          <cell r="I57" t="str">
            <v>menit</v>
          </cell>
        </row>
        <row r="58">
          <cell r="G58" t="str">
            <v>Ts2</v>
          </cell>
          <cell r="H58">
            <v>50</v>
          </cell>
          <cell r="I58" t="str">
            <v>menit</v>
          </cell>
        </row>
        <row r="60">
          <cell r="C60" t="str">
            <v>Kap. Prod. / jam  =</v>
          </cell>
          <cell r="D60" t="str">
            <v>V2 x p x Fa</v>
          </cell>
          <cell r="G60" t="str">
            <v>Q2</v>
          </cell>
          <cell r="H60">
            <v>35.856000000000002</v>
          </cell>
          <cell r="I60" t="str">
            <v>M'</v>
          </cell>
        </row>
        <row r="61">
          <cell r="D61" t="str">
            <v>Ts2</v>
          </cell>
          <cell r="H61">
            <v>6705.0720000000001</v>
          </cell>
          <cell r="I61" t="str">
            <v>Kg</v>
          </cell>
        </row>
        <row r="62">
          <cell r="J62" t="str">
            <v>Berlanjut ke hal. berikut.</v>
          </cell>
        </row>
        <row r="63">
          <cell r="A63" t="str">
            <v>ITEM PEMBAYARAN NO.</v>
          </cell>
          <cell r="D63" t="str">
            <v>:  7.6 (8)</v>
          </cell>
          <cell r="J63" t="str">
            <v>Analisa EI-768</v>
          </cell>
        </row>
        <row r="64">
          <cell r="A64" t="str">
            <v>JENIS PEKERJAAN</v>
          </cell>
          <cell r="D64" t="str">
            <v>:  Pengadaan Tiang Pancang Baja</v>
          </cell>
        </row>
        <row r="65">
          <cell r="A65" t="str">
            <v>SATUAN PEMBAYARAN</v>
          </cell>
          <cell r="D65" t="str">
            <v>:  Kg</v>
          </cell>
          <cell r="H65" t="str">
            <v xml:space="preserve">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Koefisien Alat / kg</v>
          </cell>
          <cell r="D71" t="str">
            <v xml:space="preserve"> =  1  :  Q1</v>
          </cell>
          <cell r="G71" t="str">
            <v>(E07)</v>
          </cell>
          <cell r="H71">
            <v>1.4914082950936246E-4</v>
          </cell>
          <cell r="I71" t="str">
            <v>jam</v>
          </cell>
        </row>
        <row r="73">
          <cell r="A73" t="str">
            <v>2.c.</v>
          </cell>
          <cell r="C73" t="str">
            <v>GENSET</v>
          </cell>
          <cell r="G73" t="str">
            <v>(E12)</v>
          </cell>
        </row>
        <row r="74">
          <cell r="C74" t="str">
            <v xml:space="preserve">Diasumsi panjang tiang </v>
          </cell>
          <cell r="G74" t="str">
            <v>p</v>
          </cell>
          <cell r="H74">
            <v>12</v>
          </cell>
          <cell r="I74" t="str">
            <v>M</v>
          </cell>
        </row>
        <row r="75">
          <cell r="C75" t="str">
            <v>Pembuatan sepatu/peruncing + sambungan</v>
          </cell>
          <cell r="G75" t="str">
            <v>Ts3</v>
          </cell>
          <cell r="H75">
            <v>1</v>
          </cell>
          <cell r="I75" t="str">
            <v>jam</v>
          </cell>
        </row>
        <row r="77">
          <cell r="C77" t="str">
            <v>Koefisien Alat / kg</v>
          </cell>
          <cell r="D77" t="str">
            <v>=  1 : ( p x b : Ts3 )</v>
          </cell>
          <cell r="G77" t="str">
            <v>(E12)</v>
          </cell>
          <cell r="H77">
            <v>4.4563279857397502E-4</v>
          </cell>
          <cell r="I77" t="str">
            <v>Jam</v>
          </cell>
        </row>
        <row r="79">
          <cell r="A79" t="str">
            <v>2.d.</v>
          </cell>
          <cell r="C79" t="str">
            <v>WELDING SET</v>
          </cell>
          <cell r="G79" t="str">
            <v>(E32)</v>
          </cell>
        </row>
        <row r="80">
          <cell r="C80" t="str">
            <v xml:space="preserve">Diasumsi panjang tiang </v>
          </cell>
          <cell r="G80" t="str">
            <v>p</v>
          </cell>
          <cell r="H80">
            <v>12</v>
          </cell>
          <cell r="I80" t="str">
            <v>M</v>
          </cell>
        </row>
        <row r="81">
          <cell r="C81" t="str">
            <v>Pembuatan sepatu/peruncing + sambungan</v>
          </cell>
          <cell r="G81" t="str">
            <v>Ts4</v>
          </cell>
          <cell r="H81">
            <v>1</v>
          </cell>
          <cell r="I81" t="str">
            <v>jam</v>
          </cell>
        </row>
        <row r="83">
          <cell r="C83" t="str">
            <v>Koefisien Alat / kg</v>
          </cell>
          <cell r="D83" t="str">
            <v>=  1 : ( p x b : Ts4 )</v>
          </cell>
          <cell r="G83" t="str">
            <v>(E32)</v>
          </cell>
          <cell r="H83">
            <v>4.4563279857397502E-4</v>
          </cell>
          <cell r="I83" t="str">
            <v>M/Jam</v>
          </cell>
        </row>
        <row r="85">
          <cell r="A85" t="str">
            <v>2.e.</v>
          </cell>
          <cell r="C85" t="str">
            <v>ALAT  BANTU</v>
          </cell>
        </row>
        <row r="86">
          <cell r="C86" t="str">
            <v>Diperlukan alat bantu untuk pek. Tiang Pancang Baja</v>
          </cell>
          <cell r="J86" t="str">
            <v>Lumpsum</v>
          </cell>
        </row>
        <row r="87">
          <cell r="C87" t="str">
            <v>- Tachkel</v>
          </cell>
        </row>
        <row r="88">
          <cell r="C88" t="str">
            <v>- Tambang, seling ,rantai dan Alat kecil lainnya</v>
          </cell>
        </row>
        <row r="90">
          <cell r="A90" t="str">
            <v>3.</v>
          </cell>
          <cell r="C90" t="str">
            <v>TENAGA</v>
          </cell>
          <cell r="G90" t="str">
            <v>Qt</v>
          </cell>
          <cell r="H90">
            <v>5</v>
          </cell>
          <cell r="I90" t="str">
            <v>batang</v>
          </cell>
        </row>
        <row r="91">
          <cell r="C91" t="str">
            <v>Produksi Tiang dalam 1 hari</v>
          </cell>
          <cell r="G91" t="str">
            <v>Qt</v>
          </cell>
          <cell r="H91">
            <v>60</v>
          </cell>
          <cell r="I91" t="str">
            <v>M</v>
          </cell>
        </row>
        <row r="92">
          <cell r="G92" t="str">
            <v>Qt</v>
          </cell>
          <cell r="H92">
            <v>11220</v>
          </cell>
          <cell r="I92" t="str">
            <v>Kg</v>
          </cell>
        </row>
        <row r="93">
          <cell r="C93" t="str">
            <v>Kebutuhan tenaga tambahan di lokasi ::</v>
          </cell>
        </row>
        <row r="94">
          <cell r="D94" t="str">
            <v>- Mandor</v>
          </cell>
          <cell r="G94" t="str">
            <v>M</v>
          </cell>
          <cell r="H94">
            <v>1</v>
          </cell>
          <cell r="I94" t="str">
            <v>orang</v>
          </cell>
        </row>
        <row r="95">
          <cell r="D95" t="str">
            <v>- Tukang</v>
          </cell>
          <cell r="G95" t="str">
            <v>Tb</v>
          </cell>
          <cell r="H95">
            <v>4</v>
          </cell>
          <cell r="I95" t="str">
            <v>orang</v>
          </cell>
        </row>
        <row r="96">
          <cell r="D96" t="str">
            <v>- Pekerja</v>
          </cell>
          <cell r="G96" t="str">
            <v>P</v>
          </cell>
          <cell r="H96">
            <v>12</v>
          </cell>
          <cell r="I96" t="str">
            <v>orang</v>
          </cell>
        </row>
        <row r="98">
          <cell r="C98" t="str">
            <v>Koefisien Tenaga / kg   :</v>
          </cell>
        </row>
        <row r="99">
          <cell r="D99" t="str">
            <v>-  Mandor</v>
          </cell>
          <cell r="E99" t="str">
            <v>= (Tk x M) : Qt</v>
          </cell>
          <cell r="G99" t="str">
            <v>(L03)</v>
          </cell>
          <cell r="H99">
            <v>6.2388591800356511E-4</v>
          </cell>
          <cell r="I99" t="str">
            <v>jam</v>
          </cell>
        </row>
        <row r="100">
          <cell r="D100" t="str">
            <v>-  Tukang</v>
          </cell>
          <cell r="E100" t="str">
            <v>= (Tk x Tb) : Qt</v>
          </cell>
          <cell r="G100" t="str">
            <v>(L02)</v>
          </cell>
          <cell r="H100">
            <v>2.4955436720142605E-3</v>
          </cell>
          <cell r="I100" t="str">
            <v>jam</v>
          </cell>
        </row>
        <row r="101">
          <cell r="D101" t="str">
            <v>-  Pekerja</v>
          </cell>
          <cell r="E101" t="str">
            <v>= (Tk x P) : Qt</v>
          </cell>
          <cell r="G101" t="str">
            <v>(L01)</v>
          </cell>
          <cell r="H101">
            <v>7.4866310160427805E-3</v>
          </cell>
          <cell r="I101" t="str">
            <v>jam</v>
          </cell>
        </row>
        <row r="103">
          <cell r="A103" t="str">
            <v>4.</v>
          </cell>
          <cell r="C103" t="str">
            <v>HARGA DASAR SATUAN UPAH, BAHAN DAN ALAT</v>
          </cell>
        </row>
        <row r="104">
          <cell r="C104" t="str">
            <v>Lihat lampiran.</v>
          </cell>
        </row>
        <row r="106">
          <cell r="A106" t="str">
            <v>5.</v>
          </cell>
          <cell r="C106" t="str">
            <v>ANALISA HARGA SATUAN PEKERJAAN</v>
          </cell>
        </row>
        <row r="107">
          <cell r="C107" t="str">
            <v>Lihat perhitungan dalam LAMPIRAN 2 PENAWARAN</v>
          </cell>
        </row>
        <row r="108">
          <cell r="C108" t="str">
            <v>PEREKEMAN ANALISA MASING-MASING HARGA SATUAN</v>
          </cell>
        </row>
        <row r="109">
          <cell r="C109" t="str">
            <v>Didapat Harga Satuan Pekerjaan :</v>
          </cell>
        </row>
        <row r="111">
          <cell r="C111" t="str">
            <v xml:space="preserve">Rp.  </v>
          </cell>
          <cell r="D111">
            <v>12019.807338460367</v>
          </cell>
          <cell r="E111" t="str">
            <v xml:space="preserve"> / Kg</v>
          </cell>
        </row>
        <row r="114">
          <cell r="A114" t="str">
            <v>6.</v>
          </cell>
          <cell r="C114" t="str">
            <v>MASA PELAKSANAAN YANG DIPERLUKAN</v>
          </cell>
        </row>
        <row r="115">
          <cell r="C115" t="str">
            <v>Masa Pelaksanaan :</v>
          </cell>
          <cell r="D115" t="str">
            <v>. . . . . . . . . . . .</v>
          </cell>
        </row>
        <row r="117">
          <cell r="A117" t="str">
            <v>7.</v>
          </cell>
          <cell r="C117" t="str">
            <v>VOLUME PEKERJAAN YANG DIPERLUKAN</v>
          </cell>
        </row>
        <row r="118">
          <cell r="C118" t="str">
            <v>Volume pekerjaan  :</v>
          </cell>
          <cell r="D118">
            <v>0</v>
          </cell>
          <cell r="E118" t="str">
            <v>Kg</v>
          </cell>
        </row>
        <row r="121">
          <cell r="A121" t="str">
            <v>ITEM PEMBAYARAN NO.</v>
          </cell>
          <cell r="D121" t="str">
            <v>:  7.6 (9)</v>
          </cell>
          <cell r="J121" t="str">
            <v>Analisa EI-769</v>
          </cell>
        </row>
        <row r="122">
          <cell r="A122" t="str">
            <v>JENIS PEKERJAAN</v>
          </cell>
          <cell r="D122" t="str">
            <v>:  Pengadaan T. Pancg. Bt. Bertulang</v>
          </cell>
        </row>
        <row r="123">
          <cell r="A123" t="str">
            <v>SATUAN PEMBAYARAN</v>
          </cell>
          <cell r="D123" t="str">
            <v>:  M3</v>
          </cell>
          <cell r="E123" t="str">
            <v>Ukuran (cm x cm)</v>
          </cell>
          <cell r="F123" t="str">
            <v>:</v>
          </cell>
          <cell r="G123">
            <v>40</v>
          </cell>
          <cell r="H123" t="str">
            <v xml:space="preserve">        URAIAN ANALISA HARGA SATUAN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>I.</v>
          </cell>
          <cell r="C129" t="str">
            <v>ASUMSI</v>
          </cell>
        </row>
        <row r="130">
          <cell r="A130">
            <v>1</v>
          </cell>
          <cell r="C130" t="str">
            <v>Menggunakan alat (cara mekanik)</v>
          </cell>
        </row>
        <row r="131">
          <cell r="A131">
            <v>2</v>
          </cell>
          <cell r="C131" t="str">
            <v>Beton &amp; tulangan sesuai analisa item pekerjaan ybs.</v>
          </cell>
        </row>
        <row r="132">
          <cell r="A132">
            <v>3</v>
          </cell>
          <cell r="C132" t="str">
            <v>Tiang Pcg. dibuat di Base Camp &amp; diangkut ke lokasi pek.</v>
          </cell>
        </row>
        <row r="133">
          <cell r="A133">
            <v>4</v>
          </cell>
          <cell r="C133" t="str">
            <v>Jarak rata-rata Base camp ke lokasi pekerjaan</v>
          </cell>
          <cell r="G133" t="str">
            <v>L</v>
          </cell>
          <cell r="H133">
            <v>23.5</v>
          </cell>
          <cell r="I133" t="str">
            <v>KM</v>
          </cell>
        </row>
        <row r="134">
          <cell r="A134">
            <v>5</v>
          </cell>
          <cell r="C134" t="str">
            <v>Jam kerja efektif per-hari</v>
          </cell>
          <cell r="G134" t="str">
            <v>Tk</v>
          </cell>
          <cell r="H134">
            <v>7</v>
          </cell>
          <cell r="I134" t="str">
            <v>jam</v>
          </cell>
        </row>
        <row r="135">
          <cell r="A135">
            <v>6</v>
          </cell>
          <cell r="C135" t="str">
            <v>Panjang Tiang (sesuai kebutuhan)</v>
          </cell>
          <cell r="G135" t="str">
            <v>Lt</v>
          </cell>
          <cell r="H135">
            <v>7.9577471545947667</v>
          </cell>
          <cell r="I135" t="str">
            <v>M</v>
          </cell>
        </row>
        <row r="136">
          <cell r="A136">
            <v>7</v>
          </cell>
          <cell r="C136" t="str">
            <v>Ukuran tiang pancang (sesuai kebutuhan)</v>
          </cell>
          <cell r="G136" t="str">
            <v>Uk</v>
          </cell>
          <cell r="H136">
            <v>0.4</v>
          </cell>
          <cell r="I136" t="str">
            <v>M</v>
          </cell>
        </row>
        <row r="137">
          <cell r="A137">
            <v>8</v>
          </cell>
          <cell r="C137" t="str">
            <v>Kebutuhan baja tulangan :  250 Kg/m3</v>
          </cell>
          <cell r="G137" t="str">
            <v>Mb</v>
          </cell>
          <cell r="H137">
            <v>250</v>
          </cell>
          <cell r="I137" t="str">
            <v xml:space="preserve"> Kg/M3</v>
          </cell>
        </row>
        <row r="139">
          <cell r="A139" t="str">
            <v>II.</v>
          </cell>
          <cell r="C139" t="str">
            <v>URUTAN KERJA</v>
          </cell>
        </row>
        <row r="140">
          <cell r="A140">
            <v>1</v>
          </cell>
          <cell r="C140" t="str">
            <v>Semen, pasir, batu kerikil dan air dicampur dan diaduk</v>
          </cell>
        </row>
        <row r="141">
          <cell r="C141" t="str">
            <v>menjadi beton dengan menggunakan Concrete Mixer</v>
          </cell>
        </row>
        <row r="142">
          <cell r="A142">
            <v>2</v>
          </cell>
          <cell r="C142" t="str">
            <v>Besi tulangan dibuat di base camp dan dibawa kelokasi</v>
          </cell>
        </row>
        <row r="143">
          <cell r="A143">
            <v>3</v>
          </cell>
          <cell r="C143" t="str">
            <v>Beton di-cor ke dalam perancah yang telah disiapkan</v>
          </cell>
        </row>
        <row r="144">
          <cell r="A144">
            <v>4</v>
          </cell>
          <cell r="C144" t="str">
            <v>Penyelesaian dan perapihan setelah pemasangan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</row>
        <row r="149">
          <cell r="A149" t="str">
            <v>1.a.</v>
          </cell>
          <cell r="C149" t="str">
            <v>Beton K 400</v>
          </cell>
          <cell r="G149" t="str">
            <v>(EI-712)</v>
          </cell>
          <cell r="H149">
            <v>1</v>
          </cell>
          <cell r="I149" t="str">
            <v>M3</v>
          </cell>
        </row>
        <row r="150">
          <cell r="A150" t="str">
            <v>1.b.</v>
          </cell>
          <cell r="C150" t="str">
            <v>Baja Tulangan</v>
          </cell>
          <cell r="D150" t="str">
            <v xml:space="preserve"> = Mb</v>
          </cell>
          <cell r="G150" t="str">
            <v>(EI-73)</v>
          </cell>
          <cell r="H150">
            <v>250</v>
          </cell>
          <cell r="I150" t="str">
            <v>Kg</v>
          </cell>
        </row>
        <row r="151">
          <cell r="A151" t="str">
            <v>1.c.</v>
          </cell>
          <cell r="C151" t="str">
            <v>Plat Baja utk Sepatu tiang/sambungan (t=16mm)</v>
          </cell>
          <cell r="G151" t="str">
            <v>(M48)</v>
          </cell>
          <cell r="H151">
            <v>4.5037872281863285</v>
          </cell>
          <cell r="I151" t="str">
            <v>Kg</v>
          </cell>
        </row>
        <row r="152">
          <cell r="A152" t="str">
            <v>1.d.</v>
          </cell>
          <cell r="C152" t="str">
            <v>Kaju Bekisting tambahan = {Uk x 1.0 x 4 x 0.02}</v>
          </cell>
          <cell r="G152" t="str">
            <v>(M19)</v>
          </cell>
          <cell r="H152">
            <v>3.2000000000000001E-2</v>
          </cell>
          <cell r="I152" t="str">
            <v>M3</v>
          </cell>
        </row>
        <row r="153">
          <cell r="A153" t="str">
            <v>1.e.</v>
          </cell>
          <cell r="C153" t="str">
            <v>Paku</v>
          </cell>
          <cell r="G153" t="str">
            <v>(M18)</v>
          </cell>
          <cell r="H153">
            <v>0.32</v>
          </cell>
          <cell r="I153" t="str">
            <v>Kg</v>
          </cell>
        </row>
        <row r="155">
          <cell r="A155" t="str">
            <v>2.</v>
          </cell>
          <cell r="C155" t="str">
            <v>ALAT</v>
          </cell>
        </row>
        <row r="156">
          <cell r="C156" t="str">
            <v>DUMP TRUCK</v>
          </cell>
          <cell r="D156" t="str">
            <v>(untuk angkut ke lokasi pek.)</v>
          </cell>
          <cell r="G156" t="str">
            <v>(E08)</v>
          </cell>
        </row>
        <row r="157">
          <cell r="C157" t="str">
            <v>Kapasitas bak sekali muat</v>
          </cell>
          <cell r="G157" t="str">
            <v>V</v>
          </cell>
          <cell r="H157">
            <v>6</v>
          </cell>
          <cell r="I157" t="str">
            <v>Ton</v>
          </cell>
        </row>
        <row r="158">
          <cell r="C158" t="str">
            <v>Faktor efisiensi alat</v>
          </cell>
          <cell r="G158" t="str">
            <v>Fa</v>
          </cell>
          <cell r="H158">
            <v>0.83</v>
          </cell>
        </row>
        <row r="159">
          <cell r="C159" t="str">
            <v>Kecepatanrata-rata bermuatan</v>
          </cell>
          <cell r="G159" t="str">
            <v>v1</v>
          </cell>
          <cell r="H159">
            <v>35</v>
          </cell>
          <cell r="I159" t="str">
            <v>Km/Jam</v>
          </cell>
        </row>
        <row r="160">
          <cell r="C160" t="str">
            <v>Kecepatan rata-rata kosong</v>
          </cell>
          <cell r="G160" t="str">
            <v>v2</v>
          </cell>
          <cell r="H160">
            <v>50</v>
          </cell>
          <cell r="I160" t="str">
            <v>Km/Jam</v>
          </cell>
        </row>
        <row r="161">
          <cell r="C161" t="str">
            <v>Waktu siklus    :</v>
          </cell>
          <cell r="G161" t="str">
            <v>Ts1</v>
          </cell>
        </row>
        <row r="162">
          <cell r="C162" t="str">
            <v>- Waktu  tempuh isi  = (L : v1 ) x 60</v>
          </cell>
          <cell r="G162" t="str">
            <v>T1</v>
          </cell>
          <cell r="H162">
            <v>40.285714285714285</v>
          </cell>
          <cell r="I162" t="str">
            <v>menit</v>
          </cell>
        </row>
        <row r="163">
          <cell r="C163" t="str">
            <v>- Waktu tempuh kosong  = (L : v2)  x  60</v>
          </cell>
          <cell r="G163" t="str">
            <v>T2</v>
          </cell>
          <cell r="H163">
            <v>28.2</v>
          </cell>
          <cell r="I163" t="str">
            <v>menit</v>
          </cell>
        </row>
        <row r="164">
          <cell r="C164" t="str">
            <v>-  Lain-Lain (tunggu, bongkar dan muat)</v>
          </cell>
          <cell r="G164" t="str">
            <v>T3</v>
          </cell>
          <cell r="H164">
            <v>50</v>
          </cell>
          <cell r="I164" t="str">
            <v>menit</v>
          </cell>
        </row>
        <row r="165">
          <cell r="G165" t="str">
            <v>Ts1</v>
          </cell>
          <cell r="H165">
            <v>118.48571428571428</v>
          </cell>
          <cell r="I165" t="str">
            <v>menit</v>
          </cell>
        </row>
        <row r="167">
          <cell r="C167" t="str">
            <v>Kapasitas Produksi / Jam   =</v>
          </cell>
          <cell r="E167" t="str">
            <v>V x Fa x 60</v>
          </cell>
          <cell r="G167" t="str">
            <v>Q1</v>
          </cell>
          <cell r="H167">
            <v>2.5218230045816248</v>
          </cell>
          <cell r="I167" t="str">
            <v>Ton</v>
          </cell>
          <cell r="J167" t="str">
            <v xml:space="preserve"> BJ Beton kira2</v>
          </cell>
        </row>
        <row r="168">
          <cell r="E168" t="str">
            <v>Ts1</v>
          </cell>
          <cell r="H168">
            <v>1.0087292018326499</v>
          </cell>
          <cell r="I168" t="str">
            <v>M3</v>
          </cell>
          <cell r="J168" t="str">
            <v xml:space="preserve"> 2.5 T/m3</v>
          </cell>
        </row>
        <row r="170">
          <cell r="C170" t="str">
            <v>Koefisien Alat / m3</v>
          </cell>
          <cell r="D170" t="str">
            <v>= 1 : Q1</v>
          </cell>
          <cell r="G170" t="str">
            <v>(E08)</v>
          </cell>
          <cell r="H170">
            <v>0.99134633773188008</v>
          </cell>
          <cell r="I170" t="str">
            <v>Jam</v>
          </cell>
        </row>
        <row r="172">
          <cell r="A172" t="str">
            <v>2.b.</v>
          </cell>
          <cell r="C172" t="str">
            <v>ALAT  BANTU</v>
          </cell>
        </row>
        <row r="173">
          <cell r="C173" t="str">
            <v>Diperlukan alat bantu kecil antara lain :</v>
          </cell>
          <cell r="J173" t="str">
            <v>Lumpsum</v>
          </cell>
        </row>
        <row r="174">
          <cell r="C174" t="str">
            <v>- Alat Las</v>
          </cell>
        </row>
        <row r="175">
          <cell r="C175" t="str">
            <v>- Alat kecil lainnya.</v>
          </cell>
        </row>
        <row r="181">
          <cell r="J181" t="str">
            <v>Berlanjut ke hal. berikut.</v>
          </cell>
        </row>
        <row r="182">
          <cell r="A182" t="str">
            <v>ITEM PEMBAYARAN NO.</v>
          </cell>
          <cell r="D182" t="str">
            <v>:  7.6 (9)</v>
          </cell>
          <cell r="J182" t="str">
            <v>Analisa EI-769</v>
          </cell>
        </row>
        <row r="183">
          <cell r="A183" t="str">
            <v>JENIS PEKERJAAN</v>
          </cell>
          <cell r="D183" t="str">
            <v>:  Pengadaan T. Pancg. Bt. Bertulang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3.</v>
          </cell>
          <cell r="C190" t="str">
            <v>TENAGA</v>
          </cell>
          <cell r="G190" t="str">
            <v>Qt</v>
          </cell>
          <cell r="H190">
            <v>5</v>
          </cell>
          <cell r="I190" t="str">
            <v>Batang</v>
          </cell>
        </row>
        <row r="191">
          <cell r="C191" t="str">
            <v>Produksi Tiang dalam 1 hari</v>
          </cell>
          <cell r="G191" t="str">
            <v>Qt</v>
          </cell>
          <cell r="H191">
            <v>39.788735772973837</v>
          </cell>
          <cell r="I191" t="str">
            <v>M'</v>
          </cell>
        </row>
        <row r="192">
          <cell r="G192" t="str">
            <v>Qt</v>
          </cell>
          <cell r="H192">
            <v>6.366197723675814</v>
          </cell>
          <cell r="I192" t="str">
            <v>M3</v>
          </cell>
        </row>
        <row r="193">
          <cell r="C193" t="str">
            <v>Kebutuhan tenaga tambahan di lokasi :</v>
          </cell>
        </row>
        <row r="194">
          <cell r="D194" t="str">
            <v>- Mandor</v>
          </cell>
          <cell r="G194" t="str">
            <v>M</v>
          </cell>
          <cell r="H194">
            <v>1</v>
          </cell>
          <cell r="I194" t="str">
            <v>orang</v>
          </cell>
        </row>
        <row r="195">
          <cell r="D195" t="str">
            <v>- Tukang</v>
          </cell>
          <cell r="E195" t="str">
            <v>(kayu &amp; besi)</v>
          </cell>
          <cell r="G195" t="str">
            <v>Tb</v>
          </cell>
          <cell r="H195">
            <v>2</v>
          </cell>
          <cell r="I195" t="str">
            <v>orang</v>
          </cell>
        </row>
        <row r="196">
          <cell r="D196" t="str">
            <v>- Pekerja</v>
          </cell>
          <cell r="G196" t="str">
            <v>P</v>
          </cell>
          <cell r="H196">
            <v>4</v>
          </cell>
          <cell r="I196" t="str">
            <v>orang</v>
          </cell>
        </row>
        <row r="198">
          <cell r="C198" t="str">
            <v>Koefisien Tenaga / M3   :</v>
          </cell>
        </row>
        <row r="199">
          <cell r="D199" t="str">
            <v>-  Mandor</v>
          </cell>
          <cell r="E199" t="str">
            <v>= (Tk x M) : Qt</v>
          </cell>
          <cell r="G199" t="str">
            <v>(L03)</v>
          </cell>
          <cell r="H199">
            <v>1.0995574287564276</v>
          </cell>
          <cell r="I199" t="str">
            <v>jam</v>
          </cell>
        </row>
        <row r="200">
          <cell r="D200" t="str">
            <v>-  Tukang</v>
          </cell>
          <cell r="E200" t="str">
            <v>= (Tk x Tb) : Qt</v>
          </cell>
          <cell r="G200" t="str">
            <v>(L02)</v>
          </cell>
          <cell r="H200">
            <v>2.1991148575128552</v>
          </cell>
          <cell r="I200" t="str">
            <v>jam</v>
          </cell>
        </row>
        <row r="201">
          <cell r="D201" t="str">
            <v>-  Pekerja</v>
          </cell>
          <cell r="E201" t="str">
            <v>= (Tk x P) : Qt</v>
          </cell>
          <cell r="G201" t="str">
            <v>(L01)</v>
          </cell>
          <cell r="H201">
            <v>4.3982297150257104</v>
          </cell>
          <cell r="I201" t="str">
            <v>jam</v>
          </cell>
        </row>
        <row r="203">
          <cell r="A203" t="str">
            <v>4.</v>
          </cell>
          <cell r="C203" t="str">
            <v>HARGA DASAR SATUAN UPAH, BAHAN DAN ALAT</v>
          </cell>
        </row>
        <row r="204">
          <cell r="C204" t="str">
            <v>Lihat lampiran.</v>
          </cell>
        </row>
        <row r="206">
          <cell r="A206" t="str">
            <v>5.</v>
          </cell>
          <cell r="C206" t="str">
            <v>ANALISA HARGA SATUAN PEKERJAAN</v>
          </cell>
        </row>
        <row r="207">
          <cell r="C207" t="str">
            <v>Lihat perhitungan dalam LAMPIRAN 2 PENAWARAN</v>
          </cell>
        </row>
        <row r="208">
          <cell r="C208" t="str">
            <v>PEREKEMAN ANALISA MASING-MASING HARGA</v>
          </cell>
        </row>
        <row r="209">
          <cell r="C209" t="str">
            <v>SATUAN.</v>
          </cell>
        </row>
        <row r="210">
          <cell r="C210" t="str">
            <v>Didapat Harga Satuan Pekerjaan :</v>
          </cell>
        </row>
        <row r="212">
          <cell r="C212" t="str">
            <v xml:space="preserve">Rp.  </v>
          </cell>
          <cell r="D212" t="e">
            <v>#REF!</v>
          </cell>
          <cell r="E212" t="str">
            <v xml:space="preserve"> / M3</v>
          </cell>
        </row>
        <row r="216">
          <cell r="A216" t="str">
            <v>6.</v>
          </cell>
          <cell r="C216" t="str">
            <v>MASA PELAKSANAAN YANG DIPERLUKAN</v>
          </cell>
        </row>
        <row r="217">
          <cell r="C217" t="str">
            <v>Masa Pelaksanaan :</v>
          </cell>
          <cell r="D217" t="str">
            <v>. . . . . . . . . . . .</v>
          </cell>
        </row>
        <row r="219">
          <cell r="A219" t="str">
            <v>7.</v>
          </cell>
          <cell r="C219" t="str">
            <v>VOLUME PEKERJAAN YANG DIPERLUKAN</v>
          </cell>
        </row>
        <row r="220">
          <cell r="C220" t="str">
            <v>Volume pekerjaan  :</v>
          </cell>
          <cell r="D220">
            <v>0</v>
          </cell>
          <cell r="E220" t="str">
            <v>M3</v>
          </cell>
        </row>
        <row r="241">
          <cell r="A241" t="str">
            <v>ITEM PEMBAYARAN NO.</v>
          </cell>
          <cell r="D241" t="str">
            <v>:  II.1</v>
          </cell>
          <cell r="J241" t="str">
            <v>Analisa EI-7610</v>
          </cell>
        </row>
        <row r="242">
          <cell r="A242" t="str">
            <v>JENIS PEKERJAAN</v>
          </cell>
          <cell r="D242" t="str">
            <v>:  Pengadaan T. Pancg. Bt. Pratekan</v>
          </cell>
        </row>
        <row r="243">
          <cell r="A243" t="str">
            <v>SATUAN PEMBAYARAN</v>
          </cell>
          <cell r="D243" t="str">
            <v>:  M'</v>
          </cell>
          <cell r="E243" t="str">
            <v>Ukuran cm</v>
          </cell>
          <cell r="F243" t="str">
            <v>:</v>
          </cell>
          <cell r="G243" t="str">
            <v>50 x 22 L= 9 M</v>
          </cell>
          <cell r="I243" t="str">
            <v>URAIAN ANALISA HARGA SATUAN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A249" t="str">
            <v>I.</v>
          </cell>
          <cell r="C249" t="str">
            <v>ASUMSI</v>
          </cell>
        </row>
        <row r="250">
          <cell r="A250">
            <v>1</v>
          </cell>
          <cell r="C250" t="str">
            <v>Membeli Tiang Pancang jadi dari Pabrik</v>
          </cell>
        </row>
        <row r="251">
          <cell r="A251">
            <v>2</v>
          </cell>
          <cell r="C251" t="str">
            <v>Lokasi pekerjaan : di Kandang Kab. A. Selatan</v>
          </cell>
        </row>
        <row r="252">
          <cell r="A252">
            <v>3</v>
          </cell>
          <cell r="C252" t="str">
            <v>Jarak rata-rata Base camp ke lokasi pekerjaan</v>
          </cell>
          <cell r="G252" t="str">
            <v>L</v>
          </cell>
          <cell r="H252">
            <v>1</v>
          </cell>
          <cell r="I252" t="str">
            <v>KM</v>
          </cell>
        </row>
        <row r="253">
          <cell r="A253">
            <v>4</v>
          </cell>
          <cell r="C253" t="str">
            <v>Jam kerja efektif per-hari</v>
          </cell>
          <cell r="G253" t="str">
            <v>Tk</v>
          </cell>
          <cell r="H253">
            <v>7</v>
          </cell>
          <cell r="I253" t="str">
            <v>jam</v>
          </cell>
        </row>
        <row r="254">
          <cell r="A254">
            <v>5</v>
          </cell>
          <cell r="C254" t="str">
            <v>Ukuran tiang pancang sesuai kebutuhan (diameter)</v>
          </cell>
          <cell r="G254" t="str">
            <v>Uk</v>
          </cell>
          <cell r="H254" t="str">
            <v>500 x 220</v>
          </cell>
          <cell r="I254" t="str">
            <v>cm</v>
          </cell>
        </row>
        <row r="255">
          <cell r="A255">
            <v>6</v>
          </cell>
          <cell r="C255" t="str">
            <v>Panjang Tiang Pancang</v>
          </cell>
          <cell r="G255" t="str">
            <v>p</v>
          </cell>
          <cell r="H255">
            <v>9</v>
          </cell>
          <cell r="I255" t="str">
            <v>M</v>
          </cell>
        </row>
        <row r="256">
          <cell r="A256">
            <v>7</v>
          </cell>
          <cell r="C256" t="str">
            <v>Jarak pelabuhan ke Base Camp</v>
          </cell>
          <cell r="G256" t="str">
            <v>Ld2</v>
          </cell>
          <cell r="H256">
            <v>300</v>
          </cell>
          <cell r="I256" t="str">
            <v>KM</v>
          </cell>
        </row>
        <row r="258">
          <cell r="A258" t="str">
            <v>II.</v>
          </cell>
          <cell r="C258" t="str">
            <v>URUTAN KERJA</v>
          </cell>
        </row>
        <row r="259">
          <cell r="A259">
            <v>1</v>
          </cell>
          <cell r="C259" t="str">
            <v>Tiang pancang dikirim oleh pabrik ke pelabuhan ter-</v>
          </cell>
        </row>
        <row r="260">
          <cell r="C260" t="str">
            <v>dekat atau dari pabrik ke lokasi (kalau satu pulau)</v>
          </cell>
        </row>
        <row r="261">
          <cell r="A261">
            <v>2</v>
          </cell>
          <cell r="C261" t="str">
            <v>Tiang Pancang dari pelabuhan diangkut dengan truck</v>
          </cell>
        </row>
        <row r="262">
          <cell r="C262" t="str">
            <v>atas tanggungan kontraktor</v>
          </cell>
        </row>
        <row r="263">
          <cell r="A263">
            <v>3</v>
          </cell>
          <cell r="C263" t="str">
            <v>Memuat &amp; menurunkan dari/ke truck dengan Crane</v>
          </cell>
        </row>
        <row r="265">
          <cell r="A265" t="str">
            <v>III.</v>
          </cell>
          <cell r="C265" t="str">
            <v>PEMAKAIAN BAHAN, ALAT DAN TENAGA</v>
          </cell>
        </row>
        <row r="267">
          <cell r="A267" t="str">
            <v xml:space="preserve">   1.</v>
          </cell>
          <cell r="C267" t="str">
            <v>BAHAN</v>
          </cell>
        </row>
        <row r="268">
          <cell r="C268" t="str">
            <v>Tiang Pancang Beton Pratekan Lengkap</v>
          </cell>
          <cell r="G268" t="str">
            <v>(M50)</v>
          </cell>
          <cell r="H268">
            <v>1</v>
          </cell>
          <cell r="I268" t="str">
            <v>M3</v>
          </cell>
        </row>
        <row r="272">
          <cell r="A272" t="str">
            <v>2.</v>
          </cell>
          <cell r="C272" t="str">
            <v>ALAT</v>
          </cell>
        </row>
        <row r="273">
          <cell r="A273" t="str">
            <v>2.a</v>
          </cell>
          <cell r="C273" t="str">
            <v>TRAILER 20 TON</v>
          </cell>
          <cell r="G273" t="str">
            <v>(E29)</v>
          </cell>
        </row>
        <row r="274">
          <cell r="C274" t="str">
            <v>Kapasitas bak sekali muat</v>
          </cell>
          <cell r="G274" t="str">
            <v>V</v>
          </cell>
          <cell r="H274">
            <v>15</v>
          </cell>
          <cell r="I274" t="str">
            <v>batang</v>
          </cell>
        </row>
        <row r="275">
          <cell r="C275" t="str">
            <v>Faktor efisiensi alat</v>
          </cell>
          <cell r="G275" t="str">
            <v>Fa</v>
          </cell>
          <cell r="H275">
            <v>0.95</v>
          </cell>
        </row>
        <row r="276">
          <cell r="C276" t="str">
            <v>Kecepatan rata-rata bermuatan</v>
          </cell>
          <cell r="G276" t="str">
            <v>v1</v>
          </cell>
          <cell r="H276">
            <v>45</v>
          </cell>
          <cell r="I276" t="str">
            <v>Km/Jam</v>
          </cell>
        </row>
        <row r="277">
          <cell r="C277" t="str">
            <v>Kecepatan rata-rata kosong</v>
          </cell>
          <cell r="G277" t="str">
            <v>v2</v>
          </cell>
          <cell r="H277">
            <v>65</v>
          </cell>
          <cell r="I277" t="str">
            <v>Km/Jam</v>
          </cell>
        </row>
        <row r="278">
          <cell r="C278" t="str">
            <v>Waktu siklus    :</v>
          </cell>
          <cell r="G278" t="str">
            <v>Ts1</v>
          </cell>
        </row>
        <row r="279">
          <cell r="C279" t="str">
            <v>- Waktu tempuh isi  = (Ld2 : v1 ) x 60</v>
          </cell>
          <cell r="G279" t="str">
            <v>T1</v>
          </cell>
          <cell r="H279">
            <v>400</v>
          </cell>
          <cell r="I279" t="str">
            <v>menit</v>
          </cell>
        </row>
        <row r="280">
          <cell r="C280" t="str">
            <v>- Waktu tempuh kosong  = (Ld2 : v2)  x  60</v>
          </cell>
          <cell r="G280" t="str">
            <v>T2</v>
          </cell>
          <cell r="H280">
            <v>276.92307692307691</v>
          </cell>
          <cell r="I280" t="str">
            <v>menit</v>
          </cell>
        </row>
        <row r="281">
          <cell r="C281" t="str">
            <v>- Lain-lain (bongkar dan muat)</v>
          </cell>
          <cell r="G281" t="str">
            <v>T3</v>
          </cell>
          <cell r="H281">
            <v>30</v>
          </cell>
          <cell r="I281" t="str">
            <v>menit</v>
          </cell>
        </row>
        <row r="282">
          <cell r="G282" t="str">
            <v>Ts1</v>
          </cell>
          <cell r="H282">
            <v>706.92307692307691</v>
          </cell>
          <cell r="I282" t="str">
            <v>menit</v>
          </cell>
        </row>
        <row r="284">
          <cell r="C284" t="str">
            <v>Kapasitas Produksi / Jam   =</v>
          </cell>
          <cell r="E284" t="str">
            <v>V x p x Fa x 60</v>
          </cell>
          <cell r="G284" t="str">
            <v>Q1</v>
          </cell>
          <cell r="H284">
            <v>10.885201305767138</v>
          </cell>
          <cell r="I284" t="str">
            <v>M1/Jam</v>
          </cell>
        </row>
        <row r="285">
          <cell r="E285" t="str">
            <v>Ts1</v>
          </cell>
          <cell r="G285" t="str">
            <v>Q1</v>
          </cell>
          <cell r="H285">
            <v>1.1973721436343852</v>
          </cell>
          <cell r="I285" t="str">
            <v>M3/Jam</v>
          </cell>
        </row>
        <row r="287">
          <cell r="C287" t="str">
            <v>Koefisien Alat / m3</v>
          </cell>
          <cell r="D287" t="str">
            <v xml:space="preserve">  = 1 : Q1</v>
          </cell>
          <cell r="G287" t="str">
            <v>(E29)</v>
          </cell>
          <cell r="H287">
            <v>0.83516223867101058</v>
          </cell>
          <cell r="I287" t="str">
            <v>Jam</v>
          </cell>
        </row>
        <row r="289">
          <cell r="A289" t="str">
            <v>2.b</v>
          </cell>
          <cell r="C289" t="str">
            <v xml:space="preserve">CRANE </v>
          </cell>
          <cell r="G289" t="str">
            <v>(E07)</v>
          </cell>
        </row>
        <row r="290">
          <cell r="C290" t="str">
            <v>Kapasitas</v>
          </cell>
          <cell r="G290" t="str">
            <v>V2</v>
          </cell>
          <cell r="H290">
            <v>3</v>
          </cell>
          <cell r="I290" t="str">
            <v>batang</v>
          </cell>
        </row>
        <row r="291">
          <cell r="C291" t="str">
            <v>Faktor Efisiensi alat</v>
          </cell>
          <cell r="G291" t="str">
            <v>Fa</v>
          </cell>
          <cell r="H291">
            <v>0.95</v>
          </cell>
          <cell r="I291" t="str">
            <v>-</v>
          </cell>
        </row>
        <row r="292">
          <cell r="C292" t="str">
            <v>Waktu siklus</v>
          </cell>
        </row>
        <row r="293">
          <cell r="C293" t="str">
            <v>- Waktu memuat dan membongkar</v>
          </cell>
          <cell r="G293" t="str">
            <v>T1</v>
          </cell>
          <cell r="H293">
            <v>15</v>
          </cell>
          <cell r="I293" t="str">
            <v>menit</v>
          </cell>
          <cell r="J293" t="str">
            <v>Lumpsum</v>
          </cell>
        </row>
        <row r="294">
          <cell r="C294" t="str">
            <v>- dan lain-lain ( termasuk mengatur dan menggeser)</v>
          </cell>
          <cell r="G294" t="str">
            <v>T2</v>
          </cell>
          <cell r="H294">
            <v>5</v>
          </cell>
          <cell r="I294" t="str">
            <v>menit</v>
          </cell>
        </row>
        <row r="295">
          <cell r="G295" t="str">
            <v>Ts2</v>
          </cell>
          <cell r="H295">
            <v>20</v>
          </cell>
          <cell r="I295" t="str">
            <v>menit</v>
          </cell>
        </row>
        <row r="297">
          <cell r="C297" t="str">
            <v>Kap. Prod. / jam  =</v>
          </cell>
          <cell r="D297" t="str">
            <v>V x p x Fa x 60</v>
          </cell>
          <cell r="G297" t="str">
            <v>Q2</v>
          </cell>
          <cell r="H297">
            <v>76.95</v>
          </cell>
          <cell r="I297" t="str">
            <v>M1/jam</v>
          </cell>
        </row>
        <row r="298">
          <cell r="D298" t="str">
            <v>Ts2</v>
          </cell>
          <cell r="G298" t="str">
            <v>Q2</v>
          </cell>
          <cell r="H298">
            <v>8.464500000000001</v>
          </cell>
          <cell r="I298" t="str">
            <v>M3/jam</v>
          </cell>
        </row>
        <row r="299">
          <cell r="C299" t="str">
            <v>Koefisien Alat / M3</v>
          </cell>
          <cell r="D299" t="str">
            <v xml:space="preserve"> =  1  :  Q2</v>
          </cell>
          <cell r="G299" t="str">
            <v>(E07)</v>
          </cell>
          <cell r="H299">
            <v>0.11814046901766198</v>
          </cell>
          <cell r="I299" t="str">
            <v>jam</v>
          </cell>
        </row>
        <row r="301">
          <cell r="J301" t="str">
            <v>Berlanjut ke hal. berikut.</v>
          </cell>
        </row>
        <row r="302">
          <cell r="A302" t="str">
            <v>ITEM PEMBAYARAN NO.</v>
          </cell>
          <cell r="D302" t="str">
            <v>:  II.1</v>
          </cell>
          <cell r="J302" t="str">
            <v>Analisa EI-7610</v>
          </cell>
        </row>
        <row r="303">
          <cell r="A303" t="str">
            <v>JENIS PEKERJAAN</v>
          </cell>
          <cell r="D303" t="str">
            <v>:  Pengadaan T. Pancg. Bt. Pratekan</v>
          </cell>
          <cell r="G303" t="str">
            <v>50 x 22</v>
          </cell>
        </row>
        <row r="304">
          <cell r="A304" t="str">
            <v>SATUAN PEMBAYARAN</v>
          </cell>
          <cell r="D304" t="str">
            <v>:  M3</v>
          </cell>
          <cell r="H304" t="str">
            <v xml:space="preserve">        URAIAN ANALISA HARGA SATUAN</v>
          </cell>
        </row>
        <row r="305">
          <cell r="J305" t="str">
            <v>Lanjutan</v>
          </cell>
        </row>
        <row r="307">
          <cell r="A307" t="str">
            <v>No.</v>
          </cell>
          <cell r="C307" t="str">
            <v>U R A I A N</v>
          </cell>
          <cell r="G307" t="str">
            <v>KODE</v>
          </cell>
          <cell r="H307" t="str">
            <v>KOEF.</v>
          </cell>
          <cell r="I307" t="str">
            <v>SATUAN</v>
          </cell>
          <cell r="J307" t="str">
            <v>KETERANGAN</v>
          </cell>
        </row>
        <row r="310">
          <cell r="A310" t="str">
            <v>2.c.</v>
          </cell>
          <cell r="C310" t="str">
            <v>ALAT  BANTU</v>
          </cell>
        </row>
        <row r="311">
          <cell r="C311" t="str">
            <v>Diperlukan alat bantu untuk transportasi</v>
          </cell>
          <cell r="J311" t="str">
            <v>Lumpsum</v>
          </cell>
        </row>
        <row r="312">
          <cell r="C312" t="str">
            <v>- Tackle</v>
          </cell>
        </row>
        <row r="313">
          <cell r="C313" t="str">
            <v>- Tambang</v>
          </cell>
        </row>
        <row r="314">
          <cell r="C314" t="str">
            <v>- Alat kecil lainnya</v>
          </cell>
        </row>
        <row r="316">
          <cell r="A316" t="str">
            <v>3.</v>
          </cell>
          <cell r="C316" t="str">
            <v>TENAGA</v>
          </cell>
        </row>
        <row r="317">
          <cell r="C317" t="str">
            <v>Produksi per hari  (unloading)  =  Q2 x Tk</v>
          </cell>
          <cell r="G317" t="str">
            <v>Qt</v>
          </cell>
          <cell r="H317">
            <v>59.251500000000007</v>
          </cell>
          <cell r="I317" t="str">
            <v>M3</v>
          </cell>
        </row>
        <row r="318">
          <cell r="C318" t="str">
            <v>Kebutuhan tenaga  (di lokasi pekerjaan) :</v>
          </cell>
        </row>
        <row r="319">
          <cell r="D319" t="str">
            <v>- Mandor</v>
          </cell>
          <cell r="G319" t="str">
            <v>M</v>
          </cell>
          <cell r="H319">
            <v>0</v>
          </cell>
          <cell r="I319" t="str">
            <v>orang</v>
          </cell>
        </row>
        <row r="320">
          <cell r="D320" t="str">
            <v>- Tukang</v>
          </cell>
          <cell r="G320" t="str">
            <v>Tb</v>
          </cell>
          <cell r="H320">
            <v>0</v>
          </cell>
          <cell r="I320" t="str">
            <v>orang</v>
          </cell>
        </row>
        <row r="321">
          <cell r="D321" t="str">
            <v>- Pekerja</v>
          </cell>
          <cell r="G321" t="str">
            <v>P</v>
          </cell>
          <cell r="H321">
            <v>1</v>
          </cell>
          <cell r="I321" t="str">
            <v>orang</v>
          </cell>
        </row>
        <row r="323">
          <cell r="C323" t="str">
            <v>Koefisien Tenaga / M3   :</v>
          </cell>
        </row>
        <row r="324">
          <cell r="D324" t="str">
            <v>-  Mandor</v>
          </cell>
          <cell r="E324" t="str">
            <v>= (Tk x M) : Qt</v>
          </cell>
          <cell r="G324" t="str">
            <v>(L03)</v>
          </cell>
          <cell r="H324">
            <v>0</v>
          </cell>
          <cell r="I324" t="str">
            <v>jam</v>
          </cell>
        </row>
        <row r="325">
          <cell r="D325" t="str">
            <v>-  Tukang</v>
          </cell>
          <cell r="E325" t="str">
            <v>= (Tk x Tb) : Qt</v>
          </cell>
          <cell r="G325" t="str">
            <v>(L02)</v>
          </cell>
          <cell r="H325">
            <v>0</v>
          </cell>
          <cell r="I325" t="str">
            <v>jam</v>
          </cell>
        </row>
        <row r="326">
          <cell r="D326" t="str">
            <v>-  Pekerja</v>
          </cell>
          <cell r="E326" t="str">
            <v>= (Tk x P) : Qt</v>
          </cell>
          <cell r="G326" t="str">
            <v>(L01)</v>
          </cell>
          <cell r="H326">
            <v>0.11814046901766198</v>
          </cell>
          <cell r="I326" t="str">
            <v>jam</v>
          </cell>
        </row>
        <row r="329">
          <cell r="A329" t="str">
            <v>4.</v>
          </cell>
          <cell r="C329" t="str">
            <v>HARGA DASAR SATUAN UPAH, BAHAN DAN ALAT</v>
          </cell>
        </row>
        <row r="330">
          <cell r="C330" t="str">
            <v>Lihat lampiran.</v>
          </cell>
        </row>
        <row r="332">
          <cell r="A332" t="str">
            <v>5.</v>
          </cell>
          <cell r="C332" t="str">
            <v>ANALISA HARGA SATUAN PEKERJAAN</v>
          </cell>
        </row>
        <row r="333">
          <cell r="C333" t="str">
            <v>Lihat perhitungan dalam LAMPIRAN 2 PENAWARAN</v>
          </cell>
        </row>
        <row r="334">
          <cell r="C334" t="str">
            <v>PEREKEMAN ANALISA MASING-MASING HARGA</v>
          </cell>
        </row>
        <row r="335">
          <cell r="C335" t="str">
            <v>SATUAN.</v>
          </cell>
        </row>
        <row r="336">
          <cell r="C336" t="str">
            <v>Didapat Harga Satuan Pekerjaan :</v>
          </cell>
        </row>
        <row r="338">
          <cell r="C338" t="str">
            <v xml:space="preserve">Rp.  </v>
          </cell>
          <cell r="D338">
            <v>497812.353</v>
          </cell>
          <cell r="E338" t="str">
            <v xml:space="preserve"> / M1</v>
          </cell>
        </row>
        <row r="342">
          <cell r="A342" t="str">
            <v>6.</v>
          </cell>
          <cell r="C342" t="str">
            <v>MASA PELAKSANAAN YANG DIPERLUKAN</v>
          </cell>
        </row>
        <row r="343">
          <cell r="C343" t="str">
            <v>Masa Pelaksanaan :</v>
          </cell>
          <cell r="D343">
            <v>45.349971665761139</v>
          </cell>
          <cell r="E343" t="str">
            <v>Hari</v>
          </cell>
        </row>
        <row r="345">
          <cell r="A345" t="str">
            <v>7.</v>
          </cell>
          <cell r="C345" t="str">
            <v>VOLUME PEKERJAAN YANG DIPERLUKAN</v>
          </cell>
        </row>
        <row r="346">
          <cell r="C346" t="str">
            <v>Volume pekerjaan  :</v>
          </cell>
          <cell r="D346">
            <v>2664</v>
          </cell>
          <cell r="E346" t="str">
            <v>M'</v>
          </cell>
        </row>
        <row r="362">
          <cell r="A362" t="str">
            <v>ITEM PEMBAYARAN NO.</v>
          </cell>
          <cell r="D362" t="str">
            <v>:  7.6 (13) a</v>
          </cell>
          <cell r="J362" t="str">
            <v>Analisa EI-7613</v>
          </cell>
        </row>
        <row r="363">
          <cell r="A363" t="str">
            <v>JENIS PEKERJAAN</v>
          </cell>
          <cell r="D363" t="str">
            <v>:  Pemancangan T. Pancang Baja</v>
          </cell>
          <cell r="H363" t="str">
            <v>(Dia 400 mm)</v>
          </cell>
        </row>
        <row r="364">
          <cell r="A364" t="str">
            <v>SATUAN PEMBAYARAN</v>
          </cell>
          <cell r="D364" t="str">
            <v>:  M'</v>
          </cell>
          <cell r="H364" t="str">
            <v xml:space="preserve">        URAIAN ANALISA HARGA SATUAN</v>
          </cell>
        </row>
        <row r="367">
          <cell r="A367" t="str">
            <v>No.</v>
          </cell>
          <cell r="C367" t="str">
            <v>U R A I A N</v>
          </cell>
          <cell r="G367" t="str">
            <v>KODE</v>
          </cell>
          <cell r="H367" t="str">
            <v>KOEF.</v>
          </cell>
          <cell r="I367" t="str">
            <v>SATUAN</v>
          </cell>
          <cell r="J367" t="str">
            <v>KETERANGAN</v>
          </cell>
        </row>
        <row r="370">
          <cell r="A370" t="str">
            <v>I.</v>
          </cell>
          <cell r="C370" t="str">
            <v>ASUMSI</v>
          </cell>
        </row>
        <row r="371">
          <cell r="A371">
            <v>1</v>
          </cell>
          <cell r="C371" t="str">
            <v>Menggunakan alat (cara mekanik)</v>
          </cell>
        </row>
        <row r="372">
          <cell r="A372">
            <v>2</v>
          </cell>
          <cell r="C372" t="str">
            <v>Lokasi pekerjaan : di lokasi</v>
          </cell>
        </row>
        <row r="373">
          <cell r="A373">
            <v>3</v>
          </cell>
          <cell r="C373" t="str">
            <v>Jam kerja efektif per-hari</v>
          </cell>
          <cell r="G373" t="str">
            <v>Tk</v>
          </cell>
          <cell r="H373">
            <v>7</v>
          </cell>
          <cell r="I373" t="str">
            <v>jam</v>
          </cell>
        </row>
        <row r="374">
          <cell r="A374">
            <v>4</v>
          </cell>
          <cell r="C374" t="str">
            <v>Panjang Tiang</v>
          </cell>
          <cell r="G374" t="str">
            <v>p</v>
          </cell>
          <cell r="H374">
            <v>20</v>
          </cell>
          <cell r="I374" t="str">
            <v>M</v>
          </cell>
        </row>
        <row r="375">
          <cell r="A375">
            <v>5</v>
          </cell>
          <cell r="C375" t="str">
            <v>Pemakaian Kawat las dan alat Las utk penyambungan</v>
          </cell>
        </row>
        <row r="376">
          <cell r="C376" t="str">
            <v>termasuk dalam item Penyediaan Tiang Pancang</v>
          </cell>
        </row>
        <row r="378">
          <cell r="A378" t="str">
            <v>II.</v>
          </cell>
          <cell r="C378" t="str">
            <v>URUTAN KERJA</v>
          </cell>
        </row>
        <row r="379">
          <cell r="A379">
            <v>1</v>
          </cell>
          <cell r="C379" t="str">
            <v>Material Tiang pancang yang telah siap ada dekat</v>
          </cell>
        </row>
        <row r="380">
          <cell r="C380" t="str">
            <v>lokasi pemancangan</v>
          </cell>
        </row>
        <row r="381">
          <cell r="A381">
            <v>2</v>
          </cell>
          <cell r="C381" t="str">
            <v>Penyambungan dilakukan pada saat pemancangan</v>
          </cell>
        </row>
        <row r="383">
          <cell r="A383" t="str">
            <v>III.</v>
          </cell>
          <cell r="C383" t="str">
            <v>PEMAKAIAN BAHAN, ALAT DAN TENAGA</v>
          </cell>
        </row>
        <row r="385">
          <cell r="A385" t="str">
            <v xml:space="preserve">   1.</v>
          </cell>
          <cell r="C385" t="str">
            <v>BAHAN</v>
          </cell>
        </row>
        <row r="386">
          <cell r="C386" t="str">
            <v xml:space="preserve">Pemakaian bahan pada pekerjaan penyiapan </v>
          </cell>
        </row>
        <row r="387">
          <cell r="C387" t="str">
            <v>material tiang pancang</v>
          </cell>
        </row>
        <row r="389">
          <cell r="A389" t="str">
            <v>2.</v>
          </cell>
          <cell r="C389" t="str">
            <v>ALAT</v>
          </cell>
        </row>
        <row r="392">
          <cell r="A392" t="str">
            <v>2.a</v>
          </cell>
          <cell r="C392" t="str">
            <v>Crane on Track 35 Ton</v>
          </cell>
          <cell r="G392" t="str">
            <v>(E31)</v>
          </cell>
        </row>
        <row r="393">
          <cell r="C393" t="str">
            <v>Kapasitas</v>
          </cell>
          <cell r="G393" t="str">
            <v>V1</v>
          </cell>
          <cell r="H393">
            <v>1</v>
          </cell>
          <cell r="I393" t="str">
            <v>Titik</v>
          </cell>
        </row>
        <row r="394">
          <cell r="C394" t="str">
            <v>Faktor Efisiensi alat</v>
          </cell>
          <cell r="G394" t="str">
            <v>Fa</v>
          </cell>
          <cell r="H394">
            <v>0.83</v>
          </cell>
          <cell r="I394" t="str">
            <v>-</v>
          </cell>
        </row>
        <row r="395">
          <cell r="C395" t="str">
            <v>Waktu siklus</v>
          </cell>
        </row>
        <row r="396">
          <cell r="C396" t="str">
            <v>- Waktu penggeseran dan penyetelan tiang</v>
          </cell>
          <cell r="G396" t="str">
            <v>T1</v>
          </cell>
          <cell r="H396">
            <v>75</v>
          </cell>
          <cell r="I396" t="str">
            <v>menit</v>
          </cell>
        </row>
        <row r="397">
          <cell r="C397" t="str">
            <v>- Waktu pemancangan sampai kalendering 3 cm</v>
          </cell>
          <cell r="G397" t="str">
            <v>T2</v>
          </cell>
          <cell r="H397">
            <v>85</v>
          </cell>
          <cell r="I397" t="str">
            <v>menit</v>
          </cell>
        </row>
        <row r="398">
          <cell r="C398" t="str">
            <v>- Waktu penjambungan tiang</v>
          </cell>
          <cell r="G398" t="str">
            <v>T3</v>
          </cell>
          <cell r="H398">
            <v>85</v>
          </cell>
          <cell r="I398" t="str">
            <v>menit</v>
          </cell>
        </row>
        <row r="399">
          <cell r="G399" t="str">
            <v>Ts1</v>
          </cell>
          <cell r="H399">
            <v>170</v>
          </cell>
          <cell r="I399" t="str">
            <v>menit</v>
          </cell>
        </row>
        <row r="401">
          <cell r="C401" t="str">
            <v>Kap. Prod. / jam  =</v>
          </cell>
          <cell r="D401" t="str">
            <v>V1 x p x Fa</v>
          </cell>
          <cell r="G401" t="str">
            <v>Q1</v>
          </cell>
          <cell r="H401">
            <v>5.8588235294117634</v>
          </cell>
          <cell r="I401" t="str">
            <v>M1/jam</v>
          </cell>
        </row>
        <row r="402">
          <cell r="D402" t="str">
            <v>Ts1</v>
          </cell>
        </row>
        <row r="403">
          <cell r="C403" t="str">
            <v xml:space="preserve">Koefisien Alat / m' </v>
          </cell>
          <cell r="D403" t="str">
            <v xml:space="preserve"> = 1 : Q1</v>
          </cell>
          <cell r="G403" t="str">
            <v>(E31)</v>
          </cell>
          <cell r="H403">
            <v>0.17068273092369482</v>
          </cell>
          <cell r="I403" t="str">
            <v>Jam</v>
          </cell>
        </row>
        <row r="405">
          <cell r="A405" t="str">
            <v>2.b</v>
          </cell>
          <cell r="C405" t="str">
            <v>PILE DRIVER HAMMER</v>
          </cell>
          <cell r="G405" t="str">
            <v>(E30)</v>
          </cell>
        </row>
        <row r="406">
          <cell r="C406" t="str">
            <v>Kapasitas</v>
          </cell>
          <cell r="G406" t="str">
            <v>V2</v>
          </cell>
          <cell r="H406">
            <v>1</v>
          </cell>
          <cell r="I406" t="str">
            <v>Titik</v>
          </cell>
        </row>
        <row r="407">
          <cell r="C407" t="str">
            <v>Faktor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Waktu siklus</v>
          </cell>
        </row>
        <row r="409">
          <cell r="C409" t="str">
            <v>- Waktu pemancangan sampai kalendering 3 cm</v>
          </cell>
          <cell r="G409" t="str">
            <v>Ts2</v>
          </cell>
          <cell r="H409">
            <v>85</v>
          </cell>
          <cell r="I409" t="str">
            <v>menit</v>
          </cell>
        </row>
        <row r="411">
          <cell r="C411" t="str">
            <v>Kap. Prod. / jam  =</v>
          </cell>
          <cell r="D411" t="str">
            <v>V2 x p x Fa</v>
          </cell>
          <cell r="G411" t="str">
            <v>Q2</v>
          </cell>
          <cell r="H411">
            <v>11.717647058823527</v>
          </cell>
          <cell r="I411" t="str">
            <v>M1/jam</v>
          </cell>
        </row>
        <row r="412">
          <cell r="D412" t="str">
            <v>Ts2</v>
          </cell>
        </row>
        <row r="413">
          <cell r="C413" t="str">
            <v xml:space="preserve">Koefisien Alat / m' </v>
          </cell>
          <cell r="D413" t="str">
            <v xml:space="preserve"> = 1 : Q2</v>
          </cell>
          <cell r="G413" t="str">
            <v>(E07)</v>
          </cell>
          <cell r="H413">
            <v>8.534136546184741E-2</v>
          </cell>
          <cell r="I413" t="str">
            <v>Jam</v>
          </cell>
        </row>
        <row r="417">
          <cell r="A417" t="str">
            <v>2.b.</v>
          </cell>
          <cell r="C417" t="str">
            <v>ALAT  BANTU</v>
          </cell>
        </row>
        <row r="418">
          <cell r="C418" t="str">
            <v>Diperlukan alat bantu kecil selama penyetelan dan</v>
          </cell>
          <cell r="J418" t="str">
            <v>Lumpsum</v>
          </cell>
        </row>
        <row r="419">
          <cell r="C419" t="str">
            <v>penyambungan</v>
          </cell>
        </row>
        <row r="420">
          <cell r="C420" t="str">
            <v>- Rantai/sling baja, dan Lain-Lain</v>
          </cell>
        </row>
        <row r="422">
          <cell r="J422" t="str">
            <v>Berlanjut ke hal. berikut.</v>
          </cell>
        </row>
        <row r="423">
          <cell r="A423" t="str">
            <v>ITEM PEMBAYARAN NO.</v>
          </cell>
          <cell r="D423" t="str">
            <v>:  7.6 (13) a</v>
          </cell>
          <cell r="J423" t="str">
            <v>Analisa EI-7613</v>
          </cell>
        </row>
        <row r="424">
          <cell r="A424" t="str">
            <v>JENIS PEKERJAAN</v>
          </cell>
          <cell r="D424" t="str">
            <v>:  Pemancangan T. Pancang Baja</v>
          </cell>
          <cell r="G424" t="str">
            <v>(Dia 400 mm)</v>
          </cell>
        </row>
        <row r="425">
          <cell r="A425" t="str">
            <v>SATUAN PEMBAYARAN</v>
          </cell>
          <cell r="D425" t="str">
            <v>:  M'</v>
          </cell>
          <cell r="H425" t="str">
            <v xml:space="preserve">        URAIAN ANALISA HARGA SATUAN</v>
          </cell>
        </row>
        <row r="426">
          <cell r="J426" t="str">
            <v>Lanjutan</v>
          </cell>
        </row>
        <row r="428">
          <cell r="A428" t="str">
            <v>No.</v>
          </cell>
          <cell r="C428" t="str">
            <v>U R A I A N</v>
          </cell>
          <cell r="G428" t="str">
            <v>KODE</v>
          </cell>
          <cell r="H428" t="str">
            <v>KOEF.</v>
          </cell>
          <cell r="I428" t="str">
            <v>SATUAN</v>
          </cell>
          <cell r="J428" t="str">
            <v>KETERANGAN</v>
          </cell>
        </row>
        <row r="431">
          <cell r="A431" t="str">
            <v>3.</v>
          </cell>
          <cell r="C431" t="str">
            <v>TENAGA</v>
          </cell>
        </row>
        <row r="432">
          <cell r="C432" t="str">
            <v>Produksi Tiang dalam 1 hari</v>
          </cell>
          <cell r="E432" t="str">
            <v>= Tk x Q1</v>
          </cell>
          <cell r="G432" t="str">
            <v>Qt</v>
          </cell>
          <cell r="H432">
            <v>41.011764705882342</v>
          </cell>
          <cell r="I432" t="str">
            <v>M'</v>
          </cell>
        </row>
        <row r="433">
          <cell r="C433" t="str">
            <v>Kebutuhan tenaga tambahan di lokasi :</v>
          </cell>
        </row>
        <row r="434">
          <cell r="D434" t="str">
            <v>- Mandor</v>
          </cell>
          <cell r="G434" t="str">
            <v>M</v>
          </cell>
          <cell r="H434">
            <v>1</v>
          </cell>
          <cell r="I434" t="str">
            <v>orang</v>
          </cell>
        </row>
        <row r="435">
          <cell r="D435" t="str">
            <v>- Tukang</v>
          </cell>
          <cell r="G435" t="str">
            <v>Tb</v>
          </cell>
          <cell r="H435">
            <v>3</v>
          </cell>
          <cell r="I435" t="str">
            <v>orang</v>
          </cell>
        </row>
        <row r="436">
          <cell r="D436" t="str">
            <v>- Pekerja</v>
          </cell>
          <cell r="G436" t="str">
            <v>P</v>
          </cell>
          <cell r="H436">
            <v>9</v>
          </cell>
          <cell r="I436" t="str">
            <v>orang</v>
          </cell>
        </row>
        <row r="438">
          <cell r="C438" t="str">
            <v>Koefisien Tenaga / M1   :</v>
          </cell>
        </row>
        <row r="439">
          <cell r="D439" t="str">
            <v>-  Mandor</v>
          </cell>
          <cell r="E439" t="str">
            <v xml:space="preserve"> = ( Tk x M ) : Qt</v>
          </cell>
          <cell r="G439" t="str">
            <v>(L03)</v>
          </cell>
          <cell r="H439">
            <v>0.17068273092369482</v>
          </cell>
          <cell r="I439" t="str">
            <v>jam</v>
          </cell>
        </row>
        <row r="440">
          <cell r="D440" t="str">
            <v>-  Tukang</v>
          </cell>
          <cell r="E440" t="str">
            <v xml:space="preserve"> = ( Tk x Tb ) : Qt</v>
          </cell>
          <cell r="G440" t="str">
            <v>(L02)</v>
          </cell>
          <cell r="H440">
            <v>0.51204819277108449</v>
          </cell>
          <cell r="I440" t="str">
            <v>jam</v>
          </cell>
        </row>
        <row r="441">
          <cell r="D441" t="str">
            <v>-  Pekerja</v>
          </cell>
          <cell r="E441" t="str">
            <v xml:space="preserve"> = ( Tk x P ) : Qt</v>
          </cell>
          <cell r="G441" t="str">
            <v>(L01)</v>
          </cell>
          <cell r="H441">
            <v>1.5361445783132535</v>
          </cell>
          <cell r="I441" t="str">
            <v>jam</v>
          </cell>
        </row>
        <row r="444">
          <cell r="A444" t="str">
            <v>4.</v>
          </cell>
          <cell r="C444" t="str">
            <v>HARGA DASAR SATUAN UPAH, BAHAN DAN ALAT</v>
          </cell>
        </row>
        <row r="445">
          <cell r="C445" t="str">
            <v>Lihat lampiran.</v>
          </cell>
        </row>
        <row r="447">
          <cell r="A447" t="str">
            <v>5.</v>
          </cell>
          <cell r="C447" t="str">
            <v>ANALISA HARGA SATUAN PEKERJAAN</v>
          </cell>
        </row>
        <row r="448">
          <cell r="C448" t="str">
            <v>Lihat perhitungan dalam LAMPIRAN 2 PENAWARAN</v>
          </cell>
        </row>
        <row r="449">
          <cell r="C449" t="str">
            <v>PEREKEMAN ANALISA MASING-MASING HARGA</v>
          </cell>
        </row>
        <row r="450">
          <cell r="C450" t="str">
            <v>SATUAN.</v>
          </cell>
        </row>
        <row r="451">
          <cell r="C451" t="str">
            <v>Didapat Harga Satuan Pekerjaan :</v>
          </cell>
        </row>
        <row r="453">
          <cell r="C453" t="str">
            <v xml:space="preserve">Rp.  </v>
          </cell>
          <cell r="D453">
            <v>290315.61907828122</v>
          </cell>
          <cell r="E453" t="str">
            <v xml:space="preserve"> / M'</v>
          </cell>
        </row>
        <row r="457">
          <cell r="A457" t="str">
            <v>6.</v>
          </cell>
          <cell r="C457" t="str">
            <v>MASA PELAKSANAAN YANG DIPERLUKAN</v>
          </cell>
        </row>
        <row r="458">
          <cell r="C458" t="str">
            <v>Masa Pelaksanaan :</v>
          </cell>
          <cell r="D458" t="str">
            <v>. . . . . . . . . . . .</v>
          </cell>
        </row>
        <row r="460">
          <cell r="A460" t="str">
            <v>7.</v>
          </cell>
          <cell r="C460" t="str">
            <v>VOLUME PEKERJAAN YANG DIPERLUKAN</v>
          </cell>
        </row>
        <row r="461">
          <cell r="C461" t="str">
            <v>Volume pekerjaan  :</v>
          </cell>
          <cell r="D461">
            <v>0</v>
          </cell>
          <cell r="E461" t="str">
            <v xml:space="preserve">    M'</v>
          </cell>
        </row>
        <row r="482">
          <cell r="A482" t="str">
            <v>ITEM PEMBAYARAN NO.</v>
          </cell>
          <cell r="D482" t="str">
            <v>:  II.2</v>
          </cell>
          <cell r="J482" t="str">
            <v>Analisa EI-7612</v>
          </cell>
        </row>
        <row r="483">
          <cell r="A483" t="str">
            <v>JENIS PEKERJAAN</v>
          </cell>
          <cell r="D483" t="str">
            <v>:  Pemancgn. T. Pancang Beton</v>
          </cell>
          <cell r="G483" t="str">
            <v>( 50 x 22 ) cm</v>
          </cell>
        </row>
        <row r="484">
          <cell r="A484" t="str">
            <v>SATUAN PEMBAYARAN</v>
          </cell>
          <cell r="D484" t="str">
            <v>:  M'</v>
          </cell>
          <cell r="H484" t="str">
            <v xml:space="preserve">        URAIAN ANALISA HARGA SATUAN</v>
          </cell>
        </row>
        <row r="487">
          <cell r="A487" t="str">
            <v>No.</v>
          </cell>
          <cell r="C487" t="str">
            <v>U R A I A N</v>
          </cell>
          <cell r="G487" t="str">
            <v>KODE</v>
          </cell>
          <cell r="H487" t="str">
            <v>KOEF.</v>
          </cell>
          <cell r="I487" t="str">
            <v>SATUAN</v>
          </cell>
          <cell r="J487" t="str">
            <v>KETERANGAN</v>
          </cell>
        </row>
        <row r="490">
          <cell r="A490" t="str">
            <v>I.</v>
          </cell>
          <cell r="C490" t="str">
            <v>ASUMSI</v>
          </cell>
        </row>
        <row r="491">
          <cell r="A491">
            <v>1</v>
          </cell>
          <cell r="C491" t="str">
            <v>Menggunakan alat (cara mekanik)</v>
          </cell>
        </row>
        <row r="492">
          <cell r="A492">
            <v>2</v>
          </cell>
          <cell r="C492" t="str">
            <v>Lokasi pekerjaan : di lokasi</v>
          </cell>
        </row>
        <row r="493">
          <cell r="A493">
            <v>3</v>
          </cell>
          <cell r="C493" t="str">
            <v>Jam kerja efektif per-hari</v>
          </cell>
          <cell r="G493" t="str">
            <v>Tk</v>
          </cell>
          <cell r="H493">
            <v>7</v>
          </cell>
          <cell r="I493" t="str">
            <v>jam</v>
          </cell>
        </row>
        <row r="494">
          <cell r="A494">
            <v>4</v>
          </cell>
          <cell r="C494" t="str">
            <v>Panjang Tiang</v>
          </cell>
          <cell r="G494" t="str">
            <v>p</v>
          </cell>
          <cell r="H494">
            <v>9</v>
          </cell>
          <cell r="I494" t="str">
            <v>M</v>
          </cell>
        </row>
        <row r="495">
          <cell r="A495">
            <v>5</v>
          </cell>
          <cell r="C495" t="str">
            <v>Ukuran Tiang sesuai keperluan</v>
          </cell>
        </row>
        <row r="496">
          <cell r="A496">
            <v>6</v>
          </cell>
          <cell r="C496" t="str">
            <v>Pemakaian Kawat las dan alat Las utk penyambungan</v>
          </cell>
        </row>
        <row r="497">
          <cell r="C497" t="str">
            <v>termasuk dlm item Penyediaan Tiang Pancang Beton</v>
          </cell>
        </row>
        <row r="500">
          <cell r="A500" t="str">
            <v>II.</v>
          </cell>
          <cell r="C500" t="str">
            <v>URUTAN KERJA</v>
          </cell>
        </row>
        <row r="501">
          <cell r="A501">
            <v>1</v>
          </cell>
          <cell r="C501" t="str">
            <v>Material Tiang pancang yang telah siap ada dekat lokasi</v>
          </cell>
        </row>
        <row r="502">
          <cell r="C502" t="str">
            <v>pemancangan</v>
          </cell>
        </row>
        <row r="503">
          <cell r="A503">
            <v>2</v>
          </cell>
          <cell r="C503" t="str">
            <v>Penyambungan dilakukan pada saat pemancangan</v>
          </cell>
        </row>
        <row r="505">
          <cell r="A505" t="str">
            <v>III.</v>
          </cell>
          <cell r="C505" t="str">
            <v>PEMAKAIAN BAHAN, ALAT DAN TENAGA</v>
          </cell>
        </row>
        <row r="507">
          <cell r="A507" t="str">
            <v xml:space="preserve">   1.</v>
          </cell>
          <cell r="C507" t="str">
            <v>BAHAN</v>
          </cell>
        </row>
        <row r="508">
          <cell r="C508" t="str">
            <v xml:space="preserve">Pemakaian bahan pada pekerjaan penyiapan </v>
          </cell>
        </row>
        <row r="509">
          <cell r="C509" t="str">
            <v>material tiang pancang</v>
          </cell>
        </row>
        <row r="511">
          <cell r="A511" t="str">
            <v>2.</v>
          </cell>
          <cell r="C511" t="str">
            <v>ALAT</v>
          </cell>
        </row>
        <row r="513">
          <cell r="A513" t="str">
            <v>2.a</v>
          </cell>
          <cell r="C513" t="str">
            <v>Crane on Track 35 Ton</v>
          </cell>
          <cell r="G513" t="str">
            <v>(E31)</v>
          </cell>
        </row>
        <row r="514">
          <cell r="C514" t="str">
            <v>Kapasitas</v>
          </cell>
          <cell r="G514" t="str">
            <v>V1</v>
          </cell>
          <cell r="H514">
            <v>1</v>
          </cell>
          <cell r="I514" t="str">
            <v>Titik</v>
          </cell>
        </row>
        <row r="515">
          <cell r="C515" t="str">
            <v>Faktor Efisiensi alat</v>
          </cell>
          <cell r="G515" t="str">
            <v>Fa</v>
          </cell>
          <cell r="H515">
            <v>0.9</v>
          </cell>
          <cell r="I515" t="str">
            <v>-</v>
          </cell>
        </row>
        <row r="516">
          <cell r="C516" t="str">
            <v>Waktu siklus</v>
          </cell>
        </row>
        <row r="517">
          <cell r="C517" t="str">
            <v>- Waktu penggeseran dan penyetelan tiang</v>
          </cell>
          <cell r="G517" t="str">
            <v>T1</v>
          </cell>
          <cell r="H517">
            <v>20</v>
          </cell>
          <cell r="I517" t="str">
            <v>menit</v>
          </cell>
        </row>
        <row r="518">
          <cell r="C518" t="str">
            <v>- Waktu pemancangan sampai kalendering 3 cm</v>
          </cell>
          <cell r="G518" t="str">
            <v>T2</v>
          </cell>
          <cell r="H518">
            <v>25</v>
          </cell>
          <cell r="I518" t="str">
            <v>menit</v>
          </cell>
        </row>
        <row r="519">
          <cell r="C519" t="str">
            <v>- Waktu penjambungan tiang</v>
          </cell>
          <cell r="G519" t="str">
            <v>T3</v>
          </cell>
          <cell r="H519">
            <v>0</v>
          </cell>
          <cell r="I519" t="str">
            <v>menit</v>
          </cell>
        </row>
        <row r="520">
          <cell r="G520" t="str">
            <v>Ts1</v>
          </cell>
          <cell r="H520">
            <v>45</v>
          </cell>
          <cell r="I520" t="str">
            <v>menit</v>
          </cell>
        </row>
        <row r="522">
          <cell r="C522" t="str">
            <v>Kap. Prod. / jam  =</v>
          </cell>
          <cell r="D522" t="str">
            <v>V1 x p x Fa x 60</v>
          </cell>
          <cell r="G522" t="str">
            <v>Q1</v>
          </cell>
          <cell r="H522">
            <v>10.8</v>
          </cell>
          <cell r="I522" t="str">
            <v>M1/jam</v>
          </cell>
        </row>
        <row r="523">
          <cell r="D523" t="str">
            <v>Ts1</v>
          </cell>
        </row>
        <row r="524">
          <cell r="C524" t="str">
            <v xml:space="preserve">Koefisien Alat / m' </v>
          </cell>
          <cell r="D524" t="str">
            <v>= 1 : Q1</v>
          </cell>
          <cell r="G524" t="str">
            <v>(E31)</v>
          </cell>
          <cell r="H524">
            <v>9.2592592592592587E-2</v>
          </cell>
          <cell r="I524" t="str">
            <v>Jam</v>
          </cell>
        </row>
        <row r="526">
          <cell r="A526" t="str">
            <v>2.b</v>
          </cell>
          <cell r="C526" t="str">
            <v>PILE DRIVER HAMMER</v>
          </cell>
          <cell r="G526" t="str">
            <v>(E30)</v>
          </cell>
        </row>
        <row r="527">
          <cell r="C527" t="str">
            <v>Kapasitas</v>
          </cell>
          <cell r="G527" t="str">
            <v>V2</v>
          </cell>
          <cell r="H527">
            <v>1</v>
          </cell>
          <cell r="I527" t="str">
            <v>Titik</v>
          </cell>
        </row>
        <row r="528">
          <cell r="C528" t="str">
            <v>Faktor Efisiensi alat</v>
          </cell>
          <cell r="G528" t="str">
            <v>Fa</v>
          </cell>
          <cell r="H528">
            <v>0.9</v>
          </cell>
          <cell r="I528" t="str">
            <v>-</v>
          </cell>
        </row>
        <row r="529">
          <cell r="C529" t="str">
            <v>Waktu siklus</v>
          </cell>
        </row>
        <row r="530">
          <cell r="C530" t="str">
            <v>- Waktu pemancangan sampai kalendering 3 cm</v>
          </cell>
          <cell r="G530" t="str">
            <v>Ts2</v>
          </cell>
          <cell r="H530">
            <v>30</v>
          </cell>
          <cell r="I530" t="str">
            <v>menit</v>
          </cell>
        </row>
        <row r="532">
          <cell r="C532" t="str">
            <v>Kap. Prod. / jam  =</v>
          </cell>
          <cell r="D532" t="str">
            <v>V2 x p x Fa</v>
          </cell>
          <cell r="G532" t="str">
            <v>Q1</v>
          </cell>
          <cell r="H532">
            <v>16.2</v>
          </cell>
          <cell r="I532" t="str">
            <v>M1/jam</v>
          </cell>
        </row>
        <row r="533">
          <cell r="D533" t="str">
            <v>Ts2</v>
          </cell>
        </row>
        <row r="534">
          <cell r="C534" t="str">
            <v xml:space="preserve">Koefisien Alat / m' </v>
          </cell>
          <cell r="D534" t="str">
            <v>= 1 : Q1</v>
          </cell>
          <cell r="G534" t="str">
            <v>(E07)</v>
          </cell>
          <cell r="H534">
            <v>6.1728395061728399E-2</v>
          </cell>
          <cell r="I534" t="str">
            <v>Jam</v>
          </cell>
        </row>
        <row r="537">
          <cell r="A537" t="str">
            <v>2.b.</v>
          </cell>
          <cell r="C537" t="str">
            <v>ALAT  BANTU</v>
          </cell>
        </row>
        <row r="538">
          <cell r="C538" t="str">
            <v>Diperlukan alat bantu kecil selama penyetelan dan</v>
          </cell>
          <cell r="J538" t="str">
            <v>Lumpsum</v>
          </cell>
        </row>
        <row r="539">
          <cell r="C539" t="str">
            <v xml:space="preserve">    penyambungan</v>
          </cell>
        </row>
        <row r="540">
          <cell r="C540" t="str">
            <v>- Rantai/sling baja</v>
          </cell>
        </row>
        <row r="542">
          <cell r="J542" t="str">
            <v>Berlanjut ke hal. berikut.</v>
          </cell>
        </row>
        <row r="543">
          <cell r="A543" t="str">
            <v>ITEM PEMBAYARAN NO.</v>
          </cell>
          <cell r="D543" t="str">
            <v>:  II.2</v>
          </cell>
          <cell r="J543" t="str">
            <v>Analisa EI-7612</v>
          </cell>
        </row>
        <row r="544">
          <cell r="A544" t="str">
            <v>JENIS PEKERJAAN</v>
          </cell>
          <cell r="D544" t="str">
            <v>:  Pemancgn. T. Pancang Beton</v>
          </cell>
          <cell r="F544" t="str">
            <v>( 50 x 22 ) cm</v>
          </cell>
        </row>
        <row r="545">
          <cell r="A545" t="str">
            <v>SATUAN PEMBAYARAN</v>
          </cell>
          <cell r="D545" t="str">
            <v>:  M'</v>
          </cell>
          <cell r="H545" t="str">
            <v xml:space="preserve">        URAIAN ANALISA HARGA SATUAN</v>
          </cell>
        </row>
        <row r="546">
          <cell r="J546" t="str">
            <v>Lanjutan</v>
          </cell>
        </row>
        <row r="548">
          <cell r="A548" t="str">
            <v>No.</v>
          </cell>
          <cell r="C548" t="str">
            <v>U R A I A N</v>
          </cell>
          <cell r="G548" t="str">
            <v>KODE</v>
          </cell>
          <cell r="H548" t="str">
            <v>KOEF.</v>
          </cell>
          <cell r="I548" t="str">
            <v>SATUAN</v>
          </cell>
          <cell r="J548" t="str">
            <v>KETERANGAN</v>
          </cell>
        </row>
        <row r="551">
          <cell r="A551" t="str">
            <v>3.</v>
          </cell>
          <cell r="C551" t="str">
            <v>TENAGA</v>
          </cell>
        </row>
        <row r="552">
          <cell r="C552" t="str">
            <v>Produksi Tiang dalam 1 hari</v>
          </cell>
          <cell r="E552" t="str">
            <v>= Tk x Q1</v>
          </cell>
          <cell r="G552" t="str">
            <v>Qt</v>
          </cell>
          <cell r="H552">
            <v>113.39999999999999</v>
          </cell>
          <cell r="I552" t="str">
            <v>M'</v>
          </cell>
        </row>
        <row r="553">
          <cell r="C553" t="str">
            <v>Kebutuhan tenaga tambahan di lokasi ::</v>
          </cell>
        </row>
        <row r="554">
          <cell r="D554" t="str">
            <v>- Mandor</v>
          </cell>
          <cell r="G554" t="str">
            <v>M</v>
          </cell>
          <cell r="H554">
            <v>1</v>
          </cell>
          <cell r="I554" t="str">
            <v>orang</v>
          </cell>
        </row>
        <row r="555">
          <cell r="D555" t="str">
            <v>- Tukang</v>
          </cell>
          <cell r="G555" t="str">
            <v>Tb</v>
          </cell>
          <cell r="H555">
            <v>1</v>
          </cell>
          <cell r="I555" t="str">
            <v>orang</v>
          </cell>
        </row>
        <row r="556">
          <cell r="D556" t="str">
            <v>- Pekerja</v>
          </cell>
          <cell r="G556" t="str">
            <v>P</v>
          </cell>
          <cell r="H556">
            <v>3</v>
          </cell>
          <cell r="I556" t="str">
            <v>orang</v>
          </cell>
        </row>
        <row r="558">
          <cell r="C558" t="str">
            <v>Koefisien Tenaga / M3   :</v>
          </cell>
        </row>
        <row r="559">
          <cell r="D559" t="str">
            <v>-  Mandor</v>
          </cell>
          <cell r="E559" t="str">
            <v xml:space="preserve"> = ( Tk x M ) : Qt</v>
          </cell>
          <cell r="G559" t="str">
            <v>(L03)</v>
          </cell>
          <cell r="H559">
            <v>6.1728395061728399E-2</v>
          </cell>
          <cell r="I559" t="str">
            <v>jam</v>
          </cell>
        </row>
        <row r="560">
          <cell r="D560" t="str">
            <v>-  Tukang</v>
          </cell>
          <cell r="E560" t="str">
            <v xml:space="preserve"> = ( Tk x Tb ) : Qt</v>
          </cell>
          <cell r="G560" t="str">
            <v>(L02)</v>
          </cell>
          <cell r="H560">
            <v>7.9365079365079375E-2</v>
          </cell>
          <cell r="I560" t="str">
            <v>jam</v>
          </cell>
        </row>
        <row r="561">
          <cell r="D561" t="str">
            <v>-  Pekerja</v>
          </cell>
          <cell r="E561" t="str">
            <v xml:space="preserve"> = ( Tk x P ) : Qt</v>
          </cell>
          <cell r="G561" t="str">
            <v>(L01)</v>
          </cell>
          <cell r="H561">
            <v>0.23809523809523811</v>
          </cell>
          <cell r="I561" t="str">
            <v>jam</v>
          </cell>
        </row>
        <row r="564">
          <cell r="A564" t="str">
            <v>4.</v>
          </cell>
          <cell r="C564" t="str">
            <v>HARGA DASAR SATUAN UPAH, BAHAN DAN ALAT</v>
          </cell>
        </row>
        <row r="565">
          <cell r="C565" t="str">
            <v>Lihat lampiran.</v>
          </cell>
        </row>
        <row r="567">
          <cell r="A567" t="str">
            <v>5.</v>
          </cell>
          <cell r="C567" t="str">
            <v>ANALISA HARGA SATUAN PEKERJAAN</v>
          </cell>
        </row>
        <row r="568">
          <cell r="C568" t="str">
            <v>Lihat perhitungan dalam LAMPIRAN 2 PENAWARAN</v>
          </cell>
        </row>
        <row r="569">
          <cell r="C569" t="str">
            <v>PEREKEMAN ANALISA MASING-MASING HARGA</v>
          </cell>
        </row>
        <row r="570">
          <cell r="C570" t="str">
            <v>SATUAN.</v>
          </cell>
        </row>
        <row r="571">
          <cell r="C571" t="str">
            <v>Didapat Harga Satuan Pekerjaan :</v>
          </cell>
        </row>
        <row r="573">
          <cell r="C573" t="str">
            <v xml:space="preserve">Rp.  </v>
          </cell>
          <cell r="D573">
            <v>30180.77</v>
          </cell>
          <cell r="E573" t="str">
            <v xml:space="preserve"> / M'</v>
          </cell>
        </row>
        <row r="577">
          <cell r="A577" t="str">
            <v>6.</v>
          </cell>
          <cell r="C577" t="str">
            <v>MASA PELAKSANAAN YANG DIPERLUKAN</v>
          </cell>
        </row>
        <row r="578">
          <cell r="C578" t="str">
            <v>Masa Pelaksanaan :</v>
          </cell>
          <cell r="D578">
            <v>42.416225749559082</v>
          </cell>
          <cell r="E578" t="str">
            <v>Hari</v>
          </cell>
        </row>
        <row r="580">
          <cell r="A580" t="str">
            <v>7.</v>
          </cell>
          <cell r="C580" t="str">
            <v>VOLUME PEKERJAAN YANG DIPERLUKAN</v>
          </cell>
        </row>
        <row r="581">
          <cell r="C581" t="str">
            <v>Volume pekerjaan  :</v>
          </cell>
          <cell r="D581">
            <v>1924</v>
          </cell>
          <cell r="E581" t="str">
            <v>M'</v>
          </cell>
        </row>
        <row r="602">
          <cell r="A602" t="str">
            <v>ITEM PEMBAYARAN NO.</v>
          </cell>
          <cell r="D602" t="str">
            <v>:  7.6 ( ....... )</v>
          </cell>
          <cell r="J602" t="str">
            <v>Analisa EI-76...</v>
          </cell>
        </row>
        <row r="603">
          <cell r="A603" t="str">
            <v>JENIS PEKERJAAN</v>
          </cell>
          <cell r="D603" t="str">
            <v>: Pemancgn. T. Panc. Btn. Pratekan</v>
          </cell>
        </row>
        <row r="604">
          <cell r="A604" t="str">
            <v>SATUAN PEMBAYARAN</v>
          </cell>
          <cell r="D604" t="str">
            <v>:  M'</v>
          </cell>
          <cell r="H604" t="str">
            <v xml:space="preserve">        URAIAN ANALISA HARGA SATUAN</v>
          </cell>
        </row>
        <row r="607">
          <cell r="A607" t="str">
            <v>No.</v>
          </cell>
          <cell r="C607" t="str">
            <v>U R A I A N</v>
          </cell>
          <cell r="G607" t="str">
            <v>KODE</v>
          </cell>
          <cell r="H607" t="str">
            <v>KOEF.</v>
          </cell>
          <cell r="I607" t="str">
            <v>SATUAN</v>
          </cell>
          <cell r="J607" t="str">
            <v>KETERANGAN</v>
          </cell>
        </row>
        <row r="610">
          <cell r="A610" t="str">
            <v>I.</v>
          </cell>
          <cell r="C610" t="str">
            <v>ASUMSI</v>
          </cell>
        </row>
        <row r="611">
          <cell r="A611">
            <v>1</v>
          </cell>
          <cell r="C611" t="str">
            <v>Menggunakan alat (cara mekanik)</v>
          </cell>
        </row>
        <row r="612">
          <cell r="A612">
            <v>2</v>
          </cell>
          <cell r="C612" t="str">
            <v>Lokasi pekerjaan : di lokasi</v>
          </cell>
        </row>
        <row r="613">
          <cell r="A613">
            <v>3</v>
          </cell>
          <cell r="C613" t="str">
            <v>Jam kerja efektif per-hari</v>
          </cell>
          <cell r="G613" t="str">
            <v>Tk</v>
          </cell>
          <cell r="H613">
            <v>7</v>
          </cell>
          <cell r="I613" t="str">
            <v>jam</v>
          </cell>
        </row>
        <row r="614">
          <cell r="A614">
            <v>4</v>
          </cell>
          <cell r="C614" t="str">
            <v>Panjang Tiang</v>
          </cell>
          <cell r="G614" t="str">
            <v>p</v>
          </cell>
          <cell r="H614">
            <v>20</v>
          </cell>
          <cell r="I614" t="str">
            <v>M</v>
          </cell>
        </row>
        <row r="615">
          <cell r="A615">
            <v>5</v>
          </cell>
          <cell r="C615" t="str">
            <v>Ukuran Tiang (sesuai kebutuhan)</v>
          </cell>
          <cell r="G615" t="str">
            <v>Uk</v>
          </cell>
          <cell r="H615">
            <v>0.35</v>
          </cell>
          <cell r="I615" t="str">
            <v>Cm</v>
          </cell>
        </row>
        <row r="620">
          <cell r="A620" t="str">
            <v>II.</v>
          </cell>
          <cell r="C620" t="str">
            <v>URUTAN KERJA</v>
          </cell>
        </row>
        <row r="621">
          <cell r="A621">
            <v>1</v>
          </cell>
          <cell r="C621" t="str">
            <v>Material Tiang pancang yang telah siap ada dekat lokasi</v>
          </cell>
        </row>
        <row r="622">
          <cell r="C622" t="str">
            <v>pemancangan</v>
          </cell>
        </row>
        <row r="623">
          <cell r="A623">
            <v>2</v>
          </cell>
          <cell r="C623" t="str">
            <v>Penyambungan dilakukan pada saat pemancangan</v>
          </cell>
        </row>
        <row r="625">
          <cell r="A625" t="str">
            <v>III.</v>
          </cell>
          <cell r="C625" t="str">
            <v>PEMAKAIAN BAHAN, ALAT DAN TENAGA</v>
          </cell>
        </row>
        <row r="627">
          <cell r="A627" t="str">
            <v xml:space="preserve">   1.</v>
          </cell>
          <cell r="C627" t="str">
            <v>BAHAN</v>
          </cell>
        </row>
        <row r="628">
          <cell r="C628" t="str">
            <v xml:space="preserve">Pemakaian Bahan Pada pekerjaan penyiapan </v>
          </cell>
        </row>
        <row r="629">
          <cell r="C629" t="str">
            <v>material tiang pancang</v>
          </cell>
        </row>
        <row r="631">
          <cell r="A631" t="str">
            <v>2.</v>
          </cell>
          <cell r="C631" t="str">
            <v>ALAT</v>
          </cell>
        </row>
        <row r="632">
          <cell r="H632">
            <v>0</v>
          </cell>
        </row>
        <row r="633">
          <cell r="A633" t="str">
            <v>2.a</v>
          </cell>
          <cell r="C633" t="str">
            <v>Crane on Track 35 Ton</v>
          </cell>
          <cell r="G633" t="str">
            <v>(E31)</v>
          </cell>
        </row>
        <row r="634">
          <cell r="C634" t="str">
            <v>Kapasitas</v>
          </cell>
          <cell r="G634" t="str">
            <v>V1</v>
          </cell>
          <cell r="H634">
            <v>1</v>
          </cell>
          <cell r="I634" t="str">
            <v>Titik</v>
          </cell>
        </row>
        <row r="635">
          <cell r="C635" t="str">
            <v>Faktor Efisiensi alat</v>
          </cell>
          <cell r="G635" t="str">
            <v>Fa</v>
          </cell>
          <cell r="H635">
            <v>0.83</v>
          </cell>
          <cell r="I635" t="str">
            <v>-</v>
          </cell>
        </row>
        <row r="636">
          <cell r="C636" t="str">
            <v>Waktu siklus</v>
          </cell>
        </row>
        <row r="637">
          <cell r="C637" t="str">
            <v>- Waktu penggeseran dan penyetelan tiang</v>
          </cell>
          <cell r="G637" t="str">
            <v>T1</v>
          </cell>
          <cell r="H637">
            <v>75</v>
          </cell>
          <cell r="I637" t="str">
            <v>menit</v>
          </cell>
        </row>
        <row r="638">
          <cell r="C638" t="str">
            <v>- Waktu pemancangan sampai kalendering 3 cm</v>
          </cell>
          <cell r="G638" t="str">
            <v>T2</v>
          </cell>
          <cell r="H638">
            <v>45</v>
          </cell>
          <cell r="I638" t="str">
            <v>menit</v>
          </cell>
        </row>
        <row r="639">
          <cell r="C639" t="str">
            <v>- Waktu penjambungan tiang</v>
          </cell>
          <cell r="G639" t="str">
            <v>T3</v>
          </cell>
          <cell r="H639">
            <v>45</v>
          </cell>
          <cell r="I639" t="str">
            <v>menit</v>
          </cell>
        </row>
        <row r="640">
          <cell r="G640" t="str">
            <v>Ts1</v>
          </cell>
          <cell r="H640">
            <v>90</v>
          </cell>
          <cell r="I640" t="str">
            <v>menit</v>
          </cell>
        </row>
        <row r="642">
          <cell r="C642" t="str">
            <v>Kap. Prod. / jam  =</v>
          </cell>
          <cell r="D642" t="str">
            <v>V1 x p x Fa</v>
          </cell>
          <cell r="G642" t="str">
            <v>Q1</v>
          </cell>
          <cell r="H642">
            <v>11.066666666666665</v>
          </cell>
          <cell r="I642" t="str">
            <v>M1/jam</v>
          </cell>
        </row>
        <row r="643">
          <cell r="D643" t="str">
            <v>Ts1</v>
          </cell>
        </row>
        <row r="644">
          <cell r="C644" t="str">
            <v xml:space="preserve">Koefisien Alat / m' </v>
          </cell>
          <cell r="D644" t="str">
            <v>= 1 : Q1</v>
          </cell>
          <cell r="G644" t="str">
            <v>(E31)</v>
          </cell>
          <cell r="H644">
            <v>9.0361445783132543E-2</v>
          </cell>
          <cell r="I644" t="str">
            <v>Jam</v>
          </cell>
        </row>
        <row r="646">
          <cell r="A646" t="str">
            <v>2.b</v>
          </cell>
          <cell r="C646" t="str">
            <v>PILE DRIVER HAMMER</v>
          </cell>
          <cell r="G646" t="str">
            <v>(E30)</v>
          </cell>
        </row>
        <row r="647">
          <cell r="C647" t="str">
            <v>Kapasitas</v>
          </cell>
          <cell r="G647" t="str">
            <v>V2</v>
          </cell>
          <cell r="H647">
            <v>1</v>
          </cell>
          <cell r="I647" t="str">
            <v>Titik</v>
          </cell>
        </row>
        <row r="648">
          <cell r="C648" t="str">
            <v>Faktor Efisiensi alat</v>
          </cell>
          <cell r="G648" t="str">
            <v>Fa</v>
          </cell>
          <cell r="H648">
            <v>0.83</v>
          </cell>
          <cell r="I648" t="str">
            <v>-</v>
          </cell>
        </row>
        <row r="649">
          <cell r="C649" t="str">
            <v>Waktu siklus</v>
          </cell>
        </row>
        <row r="650">
          <cell r="C650" t="str">
            <v>- Waktu pemancangan sampai kalendering 3 cm</v>
          </cell>
          <cell r="G650" t="str">
            <v>Ts2</v>
          </cell>
          <cell r="H650">
            <v>45</v>
          </cell>
          <cell r="I650" t="str">
            <v>menit</v>
          </cell>
        </row>
        <row r="652">
          <cell r="C652" t="str">
            <v>Kap. Prod. / jam  =</v>
          </cell>
          <cell r="D652" t="str">
            <v>V2 x p x Fa</v>
          </cell>
          <cell r="G652" t="str">
            <v>Q2</v>
          </cell>
          <cell r="H652">
            <v>22.133333333333329</v>
          </cell>
          <cell r="I652" t="str">
            <v>M1/jam</v>
          </cell>
        </row>
        <row r="653">
          <cell r="D653" t="str">
            <v>Ts2</v>
          </cell>
        </row>
        <row r="654">
          <cell r="C654" t="str">
            <v xml:space="preserve">Koefisien Alat / m' </v>
          </cell>
          <cell r="D654" t="str">
            <v>= 1 : Q2</v>
          </cell>
          <cell r="G654" t="str">
            <v>(E07)</v>
          </cell>
          <cell r="H654">
            <v>4.5180722891566272E-2</v>
          </cell>
          <cell r="I654" t="str">
            <v>Jam</v>
          </cell>
        </row>
        <row r="657">
          <cell r="A657" t="str">
            <v>2.b.</v>
          </cell>
          <cell r="C657" t="str">
            <v>ALAT  BANTU</v>
          </cell>
        </row>
        <row r="658">
          <cell r="C658" t="str">
            <v>Diperlukan alat bantu kecil selama penyetelan dan</v>
          </cell>
          <cell r="J658" t="str">
            <v>Lumpsum</v>
          </cell>
        </row>
        <row r="659">
          <cell r="C659" t="str">
            <v>penyambungan</v>
          </cell>
        </row>
        <row r="660">
          <cell r="C660" t="str">
            <v>- Rantai/sling baja, dan lain-lain</v>
          </cell>
        </row>
        <row r="662">
          <cell r="J662" t="str">
            <v>Berlanjut ke hal. berikut.</v>
          </cell>
        </row>
        <row r="663">
          <cell r="A663" t="str">
            <v>ITEM PEMBAYARAN NO.</v>
          </cell>
          <cell r="D663" t="str">
            <v>:  7.6 ( ....... )</v>
          </cell>
          <cell r="J663" t="str">
            <v>Analisa EI-76...</v>
          </cell>
        </row>
        <row r="664">
          <cell r="A664" t="str">
            <v>JENIS PEKERJAAN</v>
          </cell>
          <cell r="D664" t="str">
            <v>: Pemancgn. T. Panc. Btn. Pratekan</v>
          </cell>
        </row>
        <row r="665">
          <cell r="A665" t="str">
            <v>SATUAN PEMBAYARAN</v>
          </cell>
          <cell r="D665" t="str">
            <v>:  M'</v>
          </cell>
          <cell r="H665" t="str">
            <v xml:space="preserve">        URAIAN ANALISA HARGA SATUAN</v>
          </cell>
        </row>
        <row r="666">
          <cell r="J666" t="str">
            <v>Lanjutan</v>
          </cell>
        </row>
        <row r="668">
          <cell r="A668" t="str">
            <v>No.</v>
          </cell>
          <cell r="C668" t="str">
            <v>U R A I A N</v>
          </cell>
          <cell r="G668" t="str">
            <v>KODE</v>
          </cell>
          <cell r="H668" t="str">
            <v>KOEF.</v>
          </cell>
          <cell r="I668" t="str">
            <v>SATUAN</v>
          </cell>
          <cell r="J668" t="str">
            <v>KETERANGAN</v>
          </cell>
        </row>
        <row r="671">
          <cell r="A671" t="str">
            <v>3.</v>
          </cell>
          <cell r="C671" t="str">
            <v>TENAGA</v>
          </cell>
        </row>
        <row r="672">
          <cell r="C672" t="str">
            <v>Produksi Tiang dalam 1 jam</v>
          </cell>
          <cell r="G672" t="str">
            <v>Qt</v>
          </cell>
          <cell r="H672">
            <v>11.066666666666665</v>
          </cell>
          <cell r="I672" t="str">
            <v>M'</v>
          </cell>
        </row>
        <row r="673">
          <cell r="C673" t="str">
            <v>Kebutuhan tenaga tambahan di lokasi ::</v>
          </cell>
        </row>
        <row r="674">
          <cell r="D674" t="str">
            <v>- Mandor</v>
          </cell>
          <cell r="G674" t="str">
            <v>M</v>
          </cell>
          <cell r="H674">
            <v>1</v>
          </cell>
          <cell r="I674" t="str">
            <v>orang</v>
          </cell>
        </row>
        <row r="675">
          <cell r="D675" t="str">
            <v>- Tukang</v>
          </cell>
          <cell r="G675" t="str">
            <v>Tb</v>
          </cell>
          <cell r="H675">
            <v>2</v>
          </cell>
          <cell r="I675" t="str">
            <v>orang</v>
          </cell>
        </row>
        <row r="676">
          <cell r="D676" t="str">
            <v>- Pekerja</v>
          </cell>
          <cell r="G676" t="str">
            <v>P</v>
          </cell>
          <cell r="H676">
            <v>9</v>
          </cell>
          <cell r="I676" t="str">
            <v>orang</v>
          </cell>
        </row>
        <row r="678">
          <cell r="C678" t="str">
            <v>Koefisien Tenaga / M3   :</v>
          </cell>
        </row>
        <row r="679">
          <cell r="D679" t="str">
            <v>-  Mandor</v>
          </cell>
          <cell r="E679" t="str">
            <v xml:space="preserve"> = M : Qt</v>
          </cell>
          <cell r="G679" t="str">
            <v>(L03)</v>
          </cell>
          <cell r="H679">
            <v>9.0361445783132543E-2</v>
          </cell>
          <cell r="I679" t="str">
            <v>jam</v>
          </cell>
        </row>
        <row r="680">
          <cell r="D680" t="str">
            <v>-  Tukang</v>
          </cell>
          <cell r="E680" t="str">
            <v xml:space="preserve"> = Tb : Qt</v>
          </cell>
          <cell r="G680" t="str">
            <v>(L02)</v>
          </cell>
          <cell r="H680">
            <v>0.18072289156626509</v>
          </cell>
          <cell r="I680" t="str">
            <v>jam</v>
          </cell>
        </row>
        <row r="681">
          <cell r="D681" t="str">
            <v>-  Pekerja</v>
          </cell>
          <cell r="E681" t="str">
            <v xml:space="preserve"> = P : Qt</v>
          </cell>
          <cell r="G681" t="str">
            <v>(L01)</v>
          </cell>
          <cell r="H681">
            <v>0.81325301204819289</v>
          </cell>
          <cell r="I681" t="str">
            <v>jam</v>
          </cell>
        </row>
        <row r="684">
          <cell r="A684" t="str">
            <v>4.</v>
          </cell>
          <cell r="C684" t="str">
            <v>HARGA DASAR SATUAN UPAH, BAHAN DAN ALAT</v>
          </cell>
        </row>
        <row r="685">
          <cell r="C685" t="str">
            <v>Lihat lampiran.</v>
          </cell>
        </row>
        <row r="687">
          <cell r="A687" t="str">
            <v>5.</v>
          </cell>
          <cell r="C687" t="str">
            <v>ANALISA HARGA SATUAN PEKERJAAN</v>
          </cell>
        </row>
        <row r="688">
          <cell r="C688" t="str">
            <v>Lihat perhitungan dalam LAMPIRAN 2 PENAWARAN</v>
          </cell>
        </row>
        <row r="689">
          <cell r="C689" t="str">
            <v>PEREKEMAN ANALISA MASING-MASING HARGA</v>
          </cell>
        </row>
        <row r="690">
          <cell r="C690" t="str">
            <v>SATUAN.</v>
          </cell>
        </row>
        <row r="691">
          <cell r="C691" t="str">
            <v>Didapat Harga Satuan Pekerjaan :</v>
          </cell>
        </row>
        <row r="693">
          <cell r="C693" t="str">
            <v xml:space="preserve">Rp.  </v>
          </cell>
          <cell r="D693">
            <v>36620.453797745504</v>
          </cell>
          <cell r="E693" t="str">
            <v xml:space="preserve"> / M'</v>
          </cell>
        </row>
        <row r="697">
          <cell r="A697" t="str">
            <v>6.</v>
          </cell>
          <cell r="C697" t="str">
            <v>MASA PELAKSANAAN YANG DIPERLUKAN</v>
          </cell>
        </row>
        <row r="698">
          <cell r="C698" t="str">
            <v>Masa Pelaksanaan :</v>
          </cell>
          <cell r="D698" t="str">
            <v>. . . . . . . . . . . .</v>
          </cell>
        </row>
        <row r="700">
          <cell r="A700" t="str">
            <v>7.</v>
          </cell>
          <cell r="C700" t="str">
            <v>VOLUME PEKERJAAN YANG DIPERLUKAN</v>
          </cell>
        </row>
        <row r="701">
          <cell r="C701" t="str">
            <v>Volume pekerjaan  :</v>
          </cell>
          <cell r="D701">
            <v>0</v>
          </cell>
          <cell r="E701" t="str">
            <v>M3</v>
          </cell>
        </row>
        <row r="723">
          <cell r="A723" t="str">
            <v>ITEM PEMBAYARAN NO.</v>
          </cell>
          <cell r="D723" t="str">
            <v>:  7.6 (25)</v>
          </cell>
          <cell r="J723" t="str">
            <v>Analisa EI-7618</v>
          </cell>
        </row>
        <row r="724">
          <cell r="A724" t="str">
            <v>JENIS PEKERJAAN</v>
          </cell>
          <cell r="D724" t="str">
            <v>:  Pengujian Tiang s/d Dia. 600 MM</v>
          </cell>
        </row>
        <row r="725">
          <cell r="A725" t="str">
            <v>SATUAN PEMBAYARAN</v>
          </cell>
          <cell r="D725" t="str">
            <v>:  BUAH</v>
          </cell>
          <cell r="H725" t="str">
            <v xml:space="preserve">        URAIAN ANALISA HARGA SATUAN</v>
          </cell>
        </row>
        <row r="728">
          <cell r="A728" t="str">
            <v>No.</v>
          </cell>
          <cell r="C728" t="str">
            <v>U R A I A N</v>
          </cell>
          <cell r="G728" t="str">
            <v>KODE</v>
          </cell>
          <cell r="H728" t="str">
            <v>KOEF.</v>
          </cell>
          <cell r="I728" t="str">
            <v>SATUAN</v>
          </cell>
          <cell r="J728" t="str">
            <v>KETERANGAN</v>
          </cell>
        </row>
        <row r="731">
          <cell r="A731" t="str">
            <v>I.</v>
          </cell>
          <cell r="C731" t="str">
            <v>ASUMSI</v>
          </cell>
        </row>
        <row r="732">
          <cell r="A732">
            <v>1</v>
          </cell>
          <cell r="C732" t="str">
            <v xml:space="preserve">Menggunakan Tiang Pancang Beton : Uk.40 x 40 cm </v>
          </cell>
        </row>
        <row r="733">
          <cell r="A733">
            <v>2</v>
          </cell>
          <cell r="C733" t="str">
            <v>Banyak Tiang</v>
          </cell>
          <cell r="G733" t="str">
            <v>Bh</v>
          </cell>
          <cell r="H733">
            <v>3</v>
          </cell>
          <cell r="I733" t="str">
            <v>Buah</v>
          </cell>
        </row>
        <row r="734">
          <cell r="A734">
            <v>3</v>
          </cell>
          <cell r="C734" t="str">
            <v>Panjang Tiang</v>
          </cell>
          <cell r="G734" t="str">
            <v>Pj</v>
          </cell>
          <cell r="H734">
            <v>24</v>
          </cell>
          <cell r="I734" t="str">
            <v>M</v>
          </cell>
        </row>
        <row r="735">
          <cell r="A735">
            <v>4</v>
          </cell>
          <cell r="C735" t="str">
            <v>Tiang Penahan dipancang sedalam</v>
          </cell>
          <cell r="G735" t="str">
            <v>Dl1</v>
          </cell>
          <cell r="H735">
            <v>21</v>
          </cell>
          <cell r="I735" t="str">
            <v>M</v>
          </cell>
        </row>
        <row r="736">
          <cell r="A736">
            <v>5</v>
          </cell>
          <cell r="C736" t="str">
            <v>Tiang Percobaan dipancang sedalam</v>
          </cell>
          <cell r="G736" t="str">
            <v>Dl2</v>
          </cell>
          <cell r="H736">
            <v>23</v>
          </cell>
          <cell r="I736" t="str">
            <v>M</v>
          </cell>
        </row>
        <row r="737">
          <cell r="A737">
            <v>6</v>
          </cell>
          <cell r="C737" t="str">
            <v>Pemancangan Tiang berdasarkan Item pekerjaan ybs</v>
          </cell>
        </row>
        <row r="738">
          <cell r="A738">
            <v>7</v>
          </cell>
          <cell r="C738" t="str">
            <v>Lama Pembebanan  2 hari</v>
          </cell>
          <cell r="G738" t="str">
            <v>Lb</v>
          </cell>
          <cell r="H738">
            <v>48</v>
          </cell>
          <cell r="I738" t="str">
            <v>Jam</v>
          </cell>
        </row>
        <row r="739">
          <cell r="A739">
            <v>8</v>
          </cell>
          <cell r="C739" t="str">
            <v>Tiang Percobahan</v>
          </cell>
          <cell r="G739" t="str">
            <v>p</v>
          </cell>
          <cell r="H739">
            <v>1</v>
          </cell>
          <cell r="I739" t="str">
            <v>Tiang</v>
          </cell>
        </row>
        <row r="741">
          <cell r="A741" t="str">
            <v>II.</v>
          </cell>
          <cell r="C741" t="str">
            <v>URUTAN KERJA</v>
          </cell>
        </row>
        <row r="742">
          <cell r="A742">
            <v>1</v>
          </cell>
          <cell r="C742" t="str">
            <v>Tiang pancang dipancang untuk kedalaman diatas</v>
          </cell>
        </row>
        <row r="743">
          <cell r="A743">
            <v>2</v>
          </cell>
          <cell r="C743" t="str">
            <v>Selesai dipancang disiapkan tempat pembebanan ber-</v>
          </cell>
        </row>
        <row r="744">
          <cell r="C744" t="str">
            <v>dasarkan ketentuan dengan balok baja H 400 x 400.</v>
          </cell>
        </row>
        <row r="745">
          <cell r="A745">
            <v>3</v>
          </cell>
          <cell r="C745" t="str">
            <v>Pemasangan Jack/Dongkrak dan dial pada 5 tempat</v>
          </cell>
        </row>
        <row r="748">
          <cell r="A748" t="str">
            <v>III.</v>
          </cell>
          <cell r="C748" t="str">
            <v>PEMAKAIAN BAHAN, ALAT DAN TENAGA</v>
          </cell>
        </row>
        <row r="749">
          <cell r="A749" t="str">
            <v xml:space="preserve">   1.</v>
          </cell>
          <cell r="C749" t="str">
            <v>BAHAN</v>
          </cell>
        </row>
        <row r="751">
          <cell r="C751" t="str">
            <v>Tiang Pancang</v>
          </cell>
          <cell r="D751" t="str">
            <v>=  Bh x Pj</v>
          </cell>
          <cell r="H751">
            <v>72</v>
          </cell>
          <cell r="I751" t="str">
            <v>Meter</v>
          </cell>
          <cell r="J751" t="str">
            <v>tidak dinilai</v>
          </cell>
        </row>
        <row r="752">
          <cell r="C752" t="str">
            <v>Pemancangan</v>
          </cell>
          <cell r="D752" t="str">
            <v>=  2 x Dl1 + dl2</v>
          </cell>
          <cell r="H752">
            <v>65</v>
          </cell>
          <cell r="I752" t="str">
            <v>Meter</v>
          </cell>
          <cell r="J752" t="str">
            <v>tidak dinilai</v>
          </cell>
        </row>
        <row r="753">
          <cell r="C753" t="str">
            <v>Baja Structure</v>
          </cell>
          <cell r="D753" t="str">
            <v>(profil H 400x400  = 24m)</v>
          </cell>
          <cell r="H753">
            <v>3360</v>
          </cell>
          <cell r="I753" t="str">
            <v>Kg</v>
          </cell>
          <cell r="J753" t="str">
            <v>sifatnya sewa</v>
          </cell>
        </row>
        <row r="754">
          <cell r="J754" t="str">
            <v>(harga 40 %)</v>
          </cell>
        </row>
        <row r="755">
          <cell r="A755" t="str">
            <v>2.</v>
          </cell>
          <cell r="C755" t="str">
            <v>ALAT</v>
          </cell>
        </row>
        <row r="757">
          <cell r="A757" t="str">
            <v>2.a</v>
          </cell>
          <cell r="C757" t="str">
            <v>Jack  Hydrolic</v>
          </cell>
        </row>
        <row r="758">
          <cell r="C758" t="str">
            <v>Kapasitas</v>
          </cell>
          <cell r="G758" t="str">
            <v>V1</v>
          </cell>
          <cell r="H758" t="e">
            <v>#REF!</v>
          </cell>
          <cell r="I758" t="str">
            <v>Ton</v>
          </cell>
        </row>
        <row r="759">
          <cell r="C759" t="str">
            <v>Faktor Efisiensi alat</v>
          </cell>
          <cell r="G759" t="str">
            <v>Fa</v>
          </cell>
          <cell r="H759">
            <v>1</v>
          </cell>
          <cell r="I759" t="str">
            <v>-</v>
          </cell>
        </row>
        <row r="760">
          <cell r="C760" t="str">
            <v>Waktu siklus</v>
          </cell>
        </row>
        <row r="761">
          <cell r="C761" t="str">
            <v>- Waktu persiapan</v>
          </cell>
          <cell r="G761" t="str">
            <v>T1</v>
          </cell>
          <cell r="H761">
            <v>15</v>
          </cell>
          <cell r="I761" t="str">
            <v>menit</v>
          </cell>
        </row>
        <row r="762">
          <cell r="C762" t="str">
            <v>- Waktu percobahan</v>
          </cell>
          <cell r="G762" t="str">
            <v>T2</v>
          </cell>
          <cell r="H762">
            <v>5760</v>
          </cell>
          <cell r="I762" t="str">
            <v>menit</v>
          </cell>
        </row>
        <row r="763">
          <cell r="G763" t="str">
            <v>Ts1</v>
          </cell>
          <cell r="H763">
            <v>5775</v>
          </cell>
          <cell r="I763" t="str">
            <v>menit</v>
          </cell>
        </row>
        <row r="766">
          <cell r="C766" t="str">
            <v>Koefisien Alat / Tiang</v>
          </cell>
          <cell r="G766" t="str">
            <v>(E31)</v>
          </cell>
          <cell r="H766">
            <v>96.25</v>
          </cell>
          <cell r="I766" t="str">
            <v>Jam</v>
          </cell>
        </row>
        <row r="768">
          <cell r="A768" t="str">
            <v>2.b</v>
          </cell>
          <cell r="C768" t="str">
            <v>GENSET</v>
          </cell>
          <cell r="E768" t="str">
            <v>Selama persiapan</v>
          </cell>
        </row>
        <row r="769">
          <cell r="C769" t="str">
            <v>- Waktu persiapan</v>
          </cell>
          <cell r="G769" t="str">
            <v>pj</v>
          </cell>
          <cell r="H769">
            <v>15</v>
          </cell>
          <cell r="I769" t="str">
            <v>menit</v>
          </cell>
        </row>
        <row r="771">
          <cell r="C771" t="str">
            <v>Koefisien Alat / M'</v>
          </cell>
          <cell r="H771">
            <v>0.25</v>
          </cell>
          <cell r="I771" t="str">
            <v>jam</v>
          </cell>
        </row>
        <row r="775">
          <cell r="A775" t="str">
            <v>2.c.</v>
          </cell>
          <cell r="C775" t="str">
            <v>WELDING SET</v>
          </cell>
          <cell r="E775" t="str">
            <v>Selama persiapan</v>
          </cell>
        </row>
        <row r="776">
          <cell r="C776" t="str">
            <v>- Waktu persiapan</v>
          </cell>
          <cell r="G776" t="str">
            <v>pj</v>
          </cell>
          <cell r="H776">
            <v>15</v>
          </cell>
          <cell r="I776" t="str">
            <v>menit</v>
          </cell>
        </row>
        <row r="778">
          <cell r="C778" t="str">
            <v>Koefisien Alat / M'</v>
          </cell>
          <cell r="H778">
            <v>0.25</v>
          </cell>
          <cell r="I778" t="str">
            <v>jam</v>
          </cell>
        </row>
        <row r="783">
          <cell r="J783" t="str">
            <v>Berlanjut ke hal. berikut.</v>
          </cell>
        </row>
        <row r="784">
          <cell r="A784" t="str">
            <v>ITEM PEMBAYARAN NO.</v>
          </cell>
          <cell r="D784" t="str">
            <v>:  7.6 (25)</v>
          </cell>
          <cell r="J784" t="str">
            <v>Analisa EI-7618</v>
          </cell>
        </row>
        <row r="785">
          <cell r="A785" t="str">
            <v>JENIS PEKERJAAN</v>
          </cell>
          <cell r="D785" t="str">
            <v>:  Pengujian Tiang s/d Dia. 600 MM</v>
          </cell>
        </row>
        <row r="786">
          <cell r="A786" t="str">
            <v>SATUAN PEMBAYARAN</v>
          </cell>
          <cell r="D786" t="str">
            <v>:  BUAH</v>
          </cell>
          <cell r="H786" t="str">
            <v xml:space="preserve">        URAIAN ANALISA HARGA SATUAN</v>
          </cell>
        </row>
        <row r="787">
          <cell r="J787" t="str">
            <v>Lanjutan</v>
          </cell>
        </row>
        <row r="789">
          <cell r="A789" t="str">
            <v>No.</v>
          </cell>
          <cell r="C789" t="str">
            <v>U R A I A N</v>
          </cell>
          <cell r="G789" t="str">
            <v>KODE</v>
          </cell>
          <cell r="H789" t="str">
            <v>KOEF.</v>
          </cell>
          <cell r="I789" t="str">
            <v>SATUAN</v>
          </cell>
          <cell r="J789" t="str">
            <v>KETERANGAN</v>
          </cell>
        </row>
        <row r="792">
          <cell r="A792" t="str">
            <v>2.b.</v>
          </cell>
          <cell r="C792" t="str">
            <v>ALAT  BANTU</v>
          </cell>
        </row>
        <row r="793">
          <cell r="C793" t="str">
            <v>Diperlukan alat bantu antara lain :</v>
          </cell>
          <cell r="J793" t="str">
            <v>Lumpsum</v>
          </cell>
        </row>
        <row r="794">
          <cell r="C794" t="str">
            <v>- Gauge (meteran untuk monitor pergerakan)</v>
          </cell>
        </row>
        <row r="795">
          <cell r="C795" t="str">
            <v>- Tenda dan alat kecil lainnya</v>
          </cell>
        </row>
        <row r="797">
          <cell r="A797" t="str">
            <v>3.</v>
          </cell>
          <cell r="C797" t="str">
            <v>TENAGA</v>
          </cell>
        </row>
        <row r="798">
          <cell r="C798" t="str">
            <v>Untuk Persiapan/pemasangan baja struktur  :</v>
          </cell>
          <cell r="G798" t="str">
            <v>Ts2</v>
          </cell>
          <cell r="H798">
            <v>15</v>
          </cell>
          <cell r="I798" t="str">
            <v>Menit</v>
          </cell>
        </row>
        <row r="799">
          <cell r="D799" t="str">
            <v>- Mandor</v>
          </cell>
          <cell r="G799" t="str">
            <v>M</v>
          </cell>
          <cell r="H799">
            <v>1</v>
          </cell>
          <cell r="I799" t="str">
            <v>orang</v>
          </cell>
        </row>
        <row r="800">
          <cell r="D800" t="str">
            <v>- Tukang</v>
          </cell>
          <cell r="G800" t="str">
            <v>T</v>
          </cell>
          <cell r="H800">
            <v>1</v>
          </cell>
          <cell r="I800" t="str">
            <v>orang</v>
          </cell>
        </row>
        <row r="801">
          <cell r="D801" t="str">
            <v>- Pekerja</v>
          </cell>
          <cell r="G801" t="str">
            <v>P</v>
          </cell>
          <cell r="H801">
            <v>4</v>
          </cell>
          <cell r="I801" t="str">
            <v>orang</v>
          </cell>
        </row>
        <row r="803">
          <cell r="C803" t="str">
            <v>Koefisien Tenaga / Tiang   :</v>
          </cell>
        </row>
        <row r="804">
          <cell r="D804" t="str">
            <v>-  Mandor</v>
          </cell>
          <cell r="E804" t="str">
            <v xml:space="preserve"> = M x Ts2 / 60</v>
          </cell>
          <cell r="G804" t="str">
            <v>(L03)</v>
          </cell>
          <cell r="H804">
            <v>0.25</v>
          </cell>
          <cell r="I804" t="str">
            <v>jam</v>
          </cell>
        </row>
        <row r="805">
          <cell r="D805" t="str">
            <v>-  Tukang</v>
          </cell>
          <cell r="E805" t="str">
            <v xml:space="preserve"> = T x Ts2 / 60</v>
          </cell>
          <cell r="G805" t="str">
            <v>(L02)</v>
          </cell>
          <cell r="H805">
            <v>0.25</v>
          </cell>
          <cell r="I805" t="str">
            <v>jam</v>
          </cell>
        </row>
        <row r="806">
          <cell r="D806" t="str">
            <v>-  Pekerja</v>
          </cell>
          <cell r="E806" t="str">
            <v xml:space="preserve"> = P x Ts2 / 60</v>
          </cell>
          <cell r="G806" t="str">
            <v>(L01)</v>
          </cell>
          <cell r="H806">
            <v>1</v>
          </cell>
          <cell r="I806" t="str">
            <v>jam</v>
          </cell>
        </row>
        <row r="808">
          <cell r="C808" t="str">
            <v>Untuk Loading Test  :</v>
          </cell>
          <cell r="G808" t="str">
            <v>Ts3</v>
          </cell>
          <cell r="H808">
            <v>5760</v>
          </cell>
          <cell r="I808" t="str">
            <v>Menit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0">
          <cell r="D810" t="str">
            <v>- Tukang</v>
          </cell>
          <cell r="G810" t="str">
            <v>T</v>
          </cell>
          <cell r="H810">
            <v>1</v>
          </cell>
          <cell r="I810" t="str">
            <v>orang</v>
          </cell>
        </row>
        <row r="811">
          <cell r="D811" t="str">
            <v>- Pekerja</v>
          </cell>
          <cell r="G811" t="str">
            <v>P</v>
          </cell>
          <cell r="H811">
            <v>2</v>
          </cell>
          <cell r="I811" t="str">
            <v>orang</v>
          </cell>
        </row>
        <row r="813">
          <cell r="C813" t="str">
            <v>Koefisien Tenaga / Tiang   :</v>
          </cell>
        </row>
        <row r="814">
          <cell r="D814" t="str">
            <v>-  Mandor</v>
          </cell>
          <cell r="E814" t="str">
            <v xml:space="preserve"> = M x Ts3 / 60</v>
          </cell>
          <cell r="G814" t="str">
            <v>(L03)</v>
          </cell>
          <cell r="H814">
            <v>96</v>
          </cell>
          <cell r="I814" t="str">
            <v>jam</v>
          </cell>
        </row>
        <row r="815">
          <cell r="D815" t="str">
            <v>-  Tukang</v>
          </cell>
          <cell r="E815" t="str">
            <v xml:space="preserve"> = T x Ts3 / 60</v>
          </cell>
          <cell r="G815" t="str">
            <v>(L02)</v>
          </cell>
          <cell r="H815">
            <v>96</v>
          </cell>
          <cell r="I815" t="str">
            <v>jam</v>
          </cell>
        </row>
        <row r="816">
          <cell r="D816" t="str">
            <v>-  Pekerja</v>
          </cell>
          <cell r="E816" t="str">
            <v xml:space="preserve"> = P x Ts3 / 60</v>
          </cell>
          <cell r="G816" t="str">
            <v>(L01)</v>
          </cell>
          <cell r="H816">
            <v>192</v>
          </cell>
          <cell r="I816" t="str">
            <v>jam</v>
          </cell>
        </row>
        <row r="818">
          <cell r="C818" t="str">
            <v>Total Koefisien Tenaga / Tiang   :</v>
          </cell>
        </row>
        <row r="819">
          <cell r="D819" t="str">
            <v>-  Mandor</v>
          </cell>
          <cell r="G819" t="str">
            <v>(L03)</v>
          </cell>
          <cell r="H819">
            <v>96.25</v>
          </cell>
          <cell r="I819" t="str">
            <v>jam</v>
          </cell>
        </row>
        <row r="820">
          <cell r="D820" t="str">
            <v>-  Tukang</v>
          </cell>
          <cell r="G820" t="str">
            <v>(L02)</v>
          </cell>
          <cell r="H820">
            <v>96.25</v>
          </cell>
          <cell r="I820" t="str">
            <v>jam</v>
          </cell>
        </row>
        <row r="821">
          <cell r="D821" t="str">
            <v>-  Pekerja</v>
          </cell>
          <cell r="G821" t="str">
            <v>(L01)</v>
          </cell>
          <cell r="H821">
            <v>193</v>
          </cell>
          <cell r="I821" t="str">
            <v>jam</v>
          </cell>
        </row>
        <row r="823">
          <cell r="A823" t="str">
            <v>4.</v>
          </cell>
          <cell r="C823" t="str">
            <v>HARGA DASAR SATUAN UPAH, BAHAN DAN ALAT</v>
          </cell>
        </row>
        <row r="824">
          <cell r="C824" t="str">
            <v>Lihat lampiran.</v>
          </cell>
        </row>
        <row r="827">
          <cell r="A827" t="str">
            <v>5.</v>
          </cell>
          <cell r="C827" t="str">
            <v>ANALISA HARGA SATUAN PEKERJAAN</v>
          </cell>
        </row>
        <row r="828">
          <cell r="C828" t="str">
            <v>Lihat perhitungan dalam LAMPIRAN 2 PENAWARAN</v>
          </cell>
        </row>
        <row r="829">
          <cell r="C829" t="str">
            <v>PEREKEMAN ANALISA MASING-MASING HARGA</v>
          </cell>
        </row>
        <row r="830">
          <cell r="C830" t="str">
            <v>SATUAN.</v>
          </cell>
        </row>
        <row r="831">
          <cell r="C831" t="str">
            <v>Didapat Harga Satuan Pekerjaan :</v>
          </cell>
        </row>
        <row r="833">
          <cell r="C833" t="str">
            <v xml:space="preserve">Rp.  </v>
          </cell>
          <cell r="D833">
            <v>14622129.648308007</v>
          </cell>
          <cell r="E833" t="str">
            <v xml:space="preserve"> / Tiang</v>
          </cell>
        </row>
        <row r="836">
          <cell r="A836" t="str">
            <v>6.</v>
          </cell>
          <cell r="C836" t="str">
            <v>MASA PELAKSANAAN YANG DIPERLUKAN</v>
          </cell>
        </row>
        <row r="837">
          <cell r="C837" t="str">
            <v>Masa Pelaksanaan :</v>
          </cell>
          <cell r="D837" t="str">
            <v>. . . . . . . . . . . .</v>
          </cell>
        </row>
        <row r="839">
          <cell r="A839" t="str">
            <v>7.</v>
          </cell>
          <cell r="C839" t="str">
            <v>VOLUME PEKERJAAN YANG DIPERLUKAN</v>
          </cell>
        </row>
        <row r="840">
          <cell r="C840" t="str">
            <v>Volume pekerjaan  :</v>
          </cell>
          <cell r="D840" t="e">
            <v>#REF!</v>
          </cell>
          <cell r="E840" t="str">
            <v>Tiang</v>
          </cell>
        </row>
        <row r="843">
          <cell r="A843" t="str">
            <v>ITEM PEMBAYARAN NO.</v>
          </cell>
          <cell r="D843" t="str">
            <v>:  7.6 (26)</v>
          </cell>
          <cell r="J843" t="str">
            <v>Analisa EI-7619</v>
          </cell>
        </row>
        <row r="844">
          <cell r="A844" t="str">
            <v>JENIS PEKERJAAN</v>
          </cell>
          <cell r="D844" t="str">
            <v>:  Pengujian Tiang &gt; Dia. 600 MM</v>
          </cell>
        </row>
        <row r="845">
          <cell r="A845" t="str">
            <v>SATUAN PEMBAYARAN</v>
          </cell>
          <cell r="D845" t="str">
            <v>:  BUAH</v>
          </cell>
          <cell r="H845" t="str">
            <v xml:space="preserve">        URAIAN ANALISA HARGA SATUAN</v>
          </cell>
        </row>
        <row r="848">
          <cell r="A848" t="str">
            <v>No.</v>
          </cell>
          <cell r="C848" t="str">
            <v>U R A I A N</v>
          </cell>
          <cell r="G848" t="str">
            <v>KODE</v>
          </cell>
          <cell r="H848" t="str">
            <v>KOEF.</v>
          </cell>
          <cell r="I848" t="str">
            <v>SATUAN</v>
          </cell>
          <cell r="J848" t="str">
            <v>KETERANGAN</v>
          </cell>
        </row>
        <row r="851">
          <cell r="A851" t="str">
            <v>I.</v>
          </cell>
          <cell r="C851" t="str">
            <v>ASUMSI</v>
          </cell>
        </row>
        <row r="852">
          <cell r="A852">
            <v>1</v>
          </cell>
          <cell r="C852" t="str">
            <v xml:space="preserve">Menggunakan Tiang Pancang Baja .Dia  1000 mm </v>
          </cell>
        </row>
        <row r="853">
          <cell r="A853">
            <v>2</v>
          </cell>
          <cell r="C853" t="str">
            <v>Banyak Tiang</v>
          </cell>
          <cell r="G853" t="str">
            <v>Bh</v>
          </cell>
          <cell r="H853">
            <v>3</v>
          </cell>
          <cell r="I853" t="str">
            <v>Buah</v>
          </cell>
        </row>
        <row r="854">
          <cell r="A854">
            <v>3</v>
          </cell>
          <cell r="C854" t="str">
            <v>Panjang Tiang</v>
          </cell>
          <cell r="G854" t="str">
            <v>Pj</v>
          </cell>
          <cell r="H854">
            <v>24</v>
          </cell>
          <cell r="I854" t="str">
            <v>M</v>
          </cell>
        </row>
        <row r="855">
          <cell r="A855">
            <v>4</v>
          </cell>
          <cell r="C855" t="str">
            <v>Tiang Penahan dipancang sedalam</v>
          </cell>
          <cell r="G855" t="str">
            <v>Dl1</v>
          </cell>
          <cell r="H855">
            <v>21</v>
          </cell>
          <cell r="I855" t="str">
            <v>M</v>
          </cell>
        </row>
        <row r="856">
          <cell r="A856">
            <v>5</v>
          </cell>
          <cell r="C856" t="str">
            <v>Tiang Percobahan dipancang sedalam</v>
          </cell>
          <cell r="G856" t="str">
            <v>Dl2</v>
          </cell>
          <cell r="H856">
            <v>23</v>
          </cell>
          <cell r="I856" t="str">
            <v>M</v>
          </cell>
        </row>
        <row r="857">
          <cell r="A857">
            <v>6</v>
          </cell>
          <cell r="C857" t="str">
            <v>Pemancangan Tiang berdasarkan Item pekerjaan ybs</v>
          </cell>
        </row>
        <row r="858">
          <cell r="A858">
            <v>7</v>
          </cell>
          <cell r="C858" t="str">
            <v>Lama Pembebanan  2 hari</v>
          </cell>
          <cell r="G858" t="str">
            <v>Lb</v>
          </cell>
          <cell r="H858">
            <v>48</v>
          </cell>
          <cell r="I858" t="str">
            <v>Jam</v>
          </cell>
        </row>
        <row r="859">
          <cell r="A859">
            <v>8</v>
          </cell>
          <cell r="C859" t="str">
            <v>Tiang Percobahan</v>
          </cell>
          <cell r="G859" t="str">
            <v>p</v>
          </cell>
          <cell r="H859">
            <v>1</v>
          </cell>
          <cell r="I859" t="str">
            <v>Tiang</v>
          </cell>
        </row>
        <row r="861">
          <cell r="A861" t="str">
            <v>II.</v>
          </cell>
          <cell r="C861" t="str">
            <v>URUTAN KERJA</v>
          </cell>
        </row>
        <row r="862">
          <cell r="A862">
            <v>1</v>
          </cell>
          <cell r="C862" t="str">
            <v>Tiang pancang dipancang untuk kedalaman diatas</v>
          </cell>
        </row>
        <row r="863">
          <cell r="A863">
            <v>2</v>
          </cell>
          <cell r="C863" t="str">
            <v>Selesai dipancang disiapkan tempat pembebanan ber-</v>
          </cell>
        </row>
        <row r="864">
          <cell r="C864" t="str">
            <v>dasarkan ketentuan dengan balok baja H 400 x 400.</v>
          </cell>
        </row>
        <row r="865">
          <cell r="A865">
            <v>3</v>
          </cell>
          <cell r="C865" t="str">
            <v>Pemasangan Jack/Dongkrak dan dial pada 5 tempat</v>
          </cell>
        </row>
        <row r="868">
          <cell r="A868" t="str">
            <v>III.</v>
          </cell>
          <cell r="C868" t="str">
            <v>PEMAKAIAN BAHAN, ALAT DAN TENAGA</v>
          </cell>
        </row>
        <row r="869">
          <cell r="A869" t="str">
            <v xml:space="preserve">   1.</v>
          </cell>
          <cell r="C869" t="str">
            <v>BAHAN</v>
          </cell>
        </row>
        <row r="871">
          <cell r="C871" t="str">
            <v>Tiang Pancang</v>
          </cell>
          <cell r="D871" t="str">
            <v>=  Bh x Pj</v>
          </cell>
          <cell r="H871">
            <v>72</v>
          </cell>
          <cell r="I871" t="str">
            <v>Meter</v>
          </cell>
          <cell r="J871" t="str">
            <v>tidak dinilai</v>
          </cell>
        </row>
        <row r="872">
          <cell r="C872" t="str">
            <v>Pemancangan</v>
          </cell>
          <cell r="D872" t="str">
            <v>=  2 x Dl1 + dl2</v>
          </cell>
          <cell r="H872">
            <v>65</v>
          </cell>
          <cell r="I872" t="str">
            <v>Meter</v>
          </cell>
          <cell r="J872" t="str">
            <v>tidak dinilai</v>
          </cell>
        </row>
        <row r="873">
          <cell r="C873" t="str">
            <v>Baja Structure</v>
          </cell>
          <cell r="D873" t="str">
            <v>(profil H 400x400  = 24m)</v>
          </cell>
          <cell r="H873">
            <v>3360</v>
          </cell>
          <cell r="I873" t="str">
            <v>Kg</v>
          </cell>
          <cell r="J873" t="str">
            <v>sifatnya sewa</v>
          </cell>
        </row>
        <row r="874">
          <cell r="J874" t="str">
            <v>(harga 40 %)</v>
          </cell>
        </row>
        <row r="875">
          <cell r="A875" t="str">
            <v>2.</v>
          </cell>
          <cell r="C875" t="str">
            <v>ALAT</v>
          </cell>
        </row>
        <row r="877">
          <cell r="A877" t="str">
            <v>2.a</v>
          </cell>
          <cell r="C877" t="str">
            <v>Jack  Hydrolic</v>
          </cell>
        </row>
        <row r="878">
          <cell r="C878" t="str">
            <v>Kapasitas</v>
          </cell>
          <cell r="G878" t="str">
            <v>V1</v>
          </cell>
          <cell r="H878" t="e">
            <v>#REF!</v>
          </cell>
          <cell r="I878" t="str">
            <v>Ton</v>
          </cell>
        </row>
        <row r="879">
          <cell r="C879" t="str">
            <v>Faktor Efisiensi alat</v>
          </cell>
          <cell r="G879" t="str">
            <v>Fa</v>
          </cell>
          <cell r="H879">
            <v>1</v>
          </cell>
          <cell r="I879" t="str">
            <v>-</v>
          </cell>
        </row>
        <row r="880">
          <cell r="C880" t="str">
            <v>Waktu siklus</v>
          </cell>
        </row>
        <row r="881">
          <cell r="C881" t="str">
            <v>- Waktu persiapan</v>
          </cell>
          <cell r="G881" t="str">
            <v>T1</v>
          </cell>
          <cell r="H881">
            <v>60</v>
          </cell>
          <cell r="I881" t="str">
            <v>menit</v>
          </cell>
        </row>
        <row r="882">
          <cell r="C882" t="str">
            <v>- Waktu percobaan</v>
          </cell>
          <cell r="G882" t="str">
            <v>T2</v>
          </cell>
          <cell r="H882">
            <v>5760</v>
          </cell>
          <cell r="I882" t="str">
            <v>menit</v>
          </cell>
        </row>
        <row r="883">
          <cell r="G883" t="str">
            <v>Ts1</v>
          </cell>
          <cell r="H883">
            <v>5820</v>
          </cell>
          <cell r="I883" t="str">
            <v>menit</v>
          </cell>
        </row>
        <row r="886">
          <cell r="C886" t="str">
            <v>Koefisien Alat / Tiang</v>
          </cell>
          <cell r="G886" t="str">
            <v>(E31)</v>
          </cell>
          <cell r="H886">
            <v>97</v>
          </cell>
          <cell r="I886" t="str">
            <v>Jam</v>
          </cell>
        </row>
        <row r="888">
          <cell r="A888" t="str">
            <v>2.b</v>
          </cell>
          <cell r="C888" t="str">
            <v>GENSET</v>
          </cell>
          <cell r="E888" t="str">
            <v>Selama persiapan</v>
          </cell>
        </row>
        <row r="889">
          <cell r="C889" t="str">
            <v>- Waktu persiapan</v>
          </cell>
          <cell r="G889" t="str">
            <v>pj</v>
          </cell>
          <cell r="H889">
            <v>60</v>
          </cell>
          <cell r="I889" t="str">
            <v>menit</v>
          </cell>
        </row>
        <row r="891">
          <cell r="C891" t="str">
            <v>Koefisien Alat / M'</v>
          </cell>
          <cell r="H891">
            <v>1</v>
          </cell>
          <cell r="I891" t="str">
            <v>jam</v>
          </cell>
        </row>
        <row r="895">
          <cell r="A895" t="str">
            <v>2.c.</v>
          </cell>
          <cell r="C895" t="str">
            <v>WELDING SET</v>
          </cell>
          <cell r="E895" t="str">
            <v>Selama persiapan</v>
          </cell>
        </row>
        <row r="896">
          <cell r="C896" t="str">
            <v>- Waktu persiapan</v>
          </cell>
          <cell r="G896" t="str">
            <v>pj</v>
          </cell>
          <cell r="H896">
            <v>60</v>
          </cell>
          <cell r="I896" t="str">
            <v>menit</v>
          </cell>
        </row>
        <row r="898">
          <cell r="C898" t="str">
            <v>Koefisien Alat / M'</v>
          </cell>
          <cell r="H898">
            <v>1</v>
          </cell>
          <cell r="I898" t="str">
            <v>jam</v>
          </cell>
        </row>
        <row r="903">
          <cell r="J903" t="str">
            <v>Berlanjut ke hal. berikut.</v>
          </cell>
        </row>
        <row r="904">
          <cell r="A904" t="str">
            <v>ITEM PEMBAYARAN NO.</v>
          </cell>
          <cell r="D904" t="str">
            <v>:  7.6 (26)</v>
          </cell>
          <cell r="J904" t="str">
            <v>Analisa EI-7619</v>
          </cell>
        </row>
        <row r="905">
          <cell r="A905" t="str">
            <v>JENIS PEKERJAAN</v>
          </cell>
          <cell r="D905" t="str">
            <v>:  Pengujian Tiang &gt; Dia. 600 MM</v>
          </cell>
        </row>
        <row r="906">
          <cell r="A906" t="str">
            <v>SATUAN PEMBAYARAN</v>
          </cell>
          <cell r="D906" t="str">
            <v>:  BUAH</v>
          </cell>
          <cell r="H906" t="str">
            <v xml:space="preserve">        URAIAN ANALISA HARGA SATUAN</v>
          </cell>
        </row>
        <row r="907">
          <cell r="J907" t="str">
            <v>Lanjutan</v>
          </cell>
        </row>
        <row r="909">
          <cell r="A909" t="str">
            <v>No.</v>
          </cell>
          <cell r="C909" t="str">
            <v>U R A I A N</v>
          </cell>
          <cell r="G909" t="str">
            <v>KODE</v>
          </cell>
          <cell r="H909" t="str">
            <v>KOEF.</v>
          </cell>
          <cell r="I909" t="str">
            <v>SATUAN</v>
          </cell>
          <cell r="J909" t="str">
            <v>KETERANGAN</v>
          </cell>
        </row>
        <row r="912">
          <cell r="A912" t="str">
            <v>2.b.</v>
          </cell>
          <cell r="C912" t="str">
            <v>ALAT  BANTU</v>
          </cell>
        </row>
        <row r="913">
          <cell r="C913" t="str">
            <v xml:space="preserve">Diperlukan alat bantu kecil </v>
          </cell>
          <cell r="J913" t="str">
            <v>Lumpsum</v>
          </cell>
        </row>
        <row r="914">
          <cell r="C914" t="str">
            <v>- Gauge (meteran untuk monitor pergerakan)</v>
          </cell>
        </row>
        <row r="915">
          <cell r="C915" t="str">
            <v>- Tenda dan alat kecil lainnya</v>
          </cell>
        </row>
        <row r="917">
          <cell r="A917" t="str">
            <v>3.</v>
          </cell>
          <cell r="C917" t="str">
            <v>TENAGA</v>
          </cell>
        </row>
        <row r="918">
          <cell r="C918" t="str">
            <v>Untuk Persiapan/pemasangan baja struktur  :</v>
          </cell>
          <cell r="G918" t="str">
            <v>Ts2</v>
          </cell>
          <cell r="H918">
            <v>60</v>
          </cell>
          <cell r="I918" t="str">
            <v>Menit</v>
          </cell>
        </row>
        <row r="919">
          <cell r="D919" t="str">
            <v>- Mandor</v>
          </cell>
          <cell r="G919" t="str">
            <v>M</v>
          </cell>
          <cell r="H919">
            <v>1</v>
          </cell>
          <cell r="I919" t="str">
            <v>orang</v>
          </cell>
        </row>
        <row r="920">
          <cell r="D920" t="str">
            <v>- Tukang</v>
          </cell>
          <cell r="G920" t="str">
            <v>T</v>
          </cell>
          <cell r="H920">
            <v>2</v>
          </cell>
          <cell r="I920" t="str">
            <v>orang</v>
          </cell>
        </row>
        <row r="921">
          <cell r="D921" t="str">
            <v>- Pekerja</v>
          </cell>
          <cell r="G921" t="str">
            <v>P</v>
          </cell>
          <cell r="H921">
            <v>6</v>
          </cell>
          <cell r="I921" t="str">
            <v>orang</v>
          </cell>
        </row>
        <row r="923">
          <cell r="C923" t="str">
            <v>Koefisien Tenaga / Tiang   :</v>
          </cell>
        </row>
        <row r="924">
          <cell r="D924" t="str">
            <v>-  Mandor</v>
          </cell>
          <cell r="E924" t="str">
            <v xml:space="preserve"> = M x Ts2 / 60</v>
          </cell>
          <cell r="G924" t="str">
            <v>(L03)</v>
          </cell>
          <cell r="H924">
            <v>1</v>
          </cell>
          <cell r="I924" t="str">
            <v>jam</v>
          </cell>
        </row>
        <row r="925">
          <cell r="D925" t="str">
            <v>-  Tukang</v>
          </cell>
          <cell r="E925" t="str">
            <v xml:space="preserve"> = T x Ts2 / 60</v>
          </cell>
          <cell r="G925" t="str">
            <v>(L02)</v>
          </cell>
          <cell r="H925">
            <v>2</v>
          </cell>
          <cell r="I925" t="str">
            <v>jam</v>
          </cell>
        </row>
        <row r="926">
          <cell r="D926" t="str">
            <v>-  Pekerja</v>
          </cell>
          <cell r="E926" t="str">
            <v xml:space="preserve"> = P x Ts2 / 60</v>
          </cell>
          <cell r="G926" t="str">
            <v>(L01)</v>
          </cell>
          <cell r="H926">
            <v>6</v>
          </cell>
          <cell r="I926" t="str">
            <v>jam</v>
          </cell>
        </row>
        <row r="928">
          <cell r="C928" t="str">
            <v>Untuk Loading Test  :</v>
          </cell>
          <cell r="G928" t="str">
            <v>Ts3</v>
          </cell>
          <cell r="H928">
            <v>5760</v>
          </cell>
          <cell r="I928" t="str">
            <v>Menit</v>
          </cell>
        </row>
        <row r="929">
          <cell r="D929" t="str">
            <v>- Mandor</v>
          </cell>
          <cell r="G929" t="str">
            <v>M</v>
          </cell>
          <cell r="H929">
            <v>1</v>
          </cell>
          <cell r="I929" t="str">
            <v>orang</v>
          </cell>
        </row>
        <row r="930">
          <cell r="D930" t="str">
            <v>- Tukang</v>
          </cell>
          <cell r="G930" t="str">
            <v>T</v>
          </cell>
          <cell r="H930">
            <v>2</v>
          </cell>
          <cell r="I930" t="str">
            <v>orang</v>
          </cell>
        </row>
        <row r="931">
          <cell r="D931" t="str">
            <v>- Pekerja</v>
          </cell>
          <cell r="G931" t="str">
            <v>P</v>
          </cell>
          <cell r="H931">
            <v>4</v>
          </cell>
          <cell r="I931" t="str">
            <v>orang</v>
          </cell>
        </row>
        <row r="933">
          <cell r="C933" t="str">
            <v>Koefisien Tenaga / Tiang   :</v>
          </cell>
        </row>
        <row r="934">
          <cell r="D934" t="str">
            <v>-  Mandor</v>
          </cell>
          <cell r="E934" t="str">
            <v xml:space="preserve"> = M x Ts3 / 60</v>
          </cell>
          <cell r="G934" t="str">
            <v>(L03)</v>
          </cell>
          <cell r="H934">
            <v>96</v>
          </cell>
          <cell r="I934" t="str">
            <v>jam</v>
          </cell>
        </row>
        <row r="935">
          <cell r="D935" t="str">
            <v>-  Tukang</v>
          </cell>
          <cell r="E935" t="str">
            <v xml:space="preserve"> = T x Ts3 / 60</v>
          </cell>
          <cell r="G935" t="str">
            <v>(L02)</v>
          </cell>
          <cell r="H935">
            <v>192</v>
          </cell>
          <cell r="I935" t="str">
            <v>jam</v>
          </cell>
        </row>
        <row r="936">
          <cell r="D936" t="str">
            <v>-  Pekerja</v>
          </cell>
          <cell r="E936" t="str">
            <v xml:space="preserve"> = P x Ts3 / 60</v>
          </cell>
          <cell r="G936" t="str">
            <v>(L01)</v>
          </cell>
          <cell r="H936">
            <v>384</v>
          </cell>
          <cell r="I936" t="str">
            <v>jam</v>
          </cell>
        </row>
        <row r="938">
          <cell r="C938" t="str">
            <v>Total Koefisien Tenaga / Tiang   :</v>
          </cell>
        </row>
        <row r="939">
          <cell r="D939" t="str">
            <v>-  Mandor</v>
          </cell>
          <cell r="G939" t="str">
            <v>(L03)</v>
          </cell>
          <cell r="H939">
            <v>97</v>
          </cell>
          <cell r="I939" t="str">
            <v>jam</v>
          </cell>
        </row>
        <row r="940">
          <cell r="D940" t="str">
            <v>-  Tukang</v>
          </cell>
          <cell r="G940" t="str">
            <v>(L02)</v>
          </cell>
          <cell r="H940">
            <v>194</v>
          </cell>
          <cell r="I940" t="str">
            <v>jam</v>
          </cell>
        </row>
        <row r="941">
          <cell r="D941" t="str">
            <v>-  Pekerja</v>
          </cell>
          <cell r="G941" t="str">
            <v>(L01)</v>
          </cell>
          <cell r="H941">
            <v>390</v>
          </cell>
          <cell r="I941" t="str">
            <v>jam</v>
          </cell>
        </row>
        <row r="943">
          <cell r="A943" t="str">
            <v>4.</v>
          </cell>
          <cell r="C943" t="str">
            <v>HARGA DASAR SATUAN UPAH, BAHAN DAN ALAT</v>
          </cell>
        </row>
        <row r="944">
          <cell r="C944" t="str">
            <v>Lihat lampiran.</v>
          </cell>
        </row>
        <row r="947">
          <cell r="A947" t="str">
            <v>5.</v>
          </cell>
          <cell r="C947" t="str">
            <v>ANALISA HARGA SATUAN PEKERJAAN</v>
          </cell>
        </row>
        <row r="948">
          <cell r="C948" t="str">
            <v>Lihat perhitungan dalam LAMPIRAN 2 PENAWARAN</v>
          </cell>
        </row>
        <row r="949">
          <cell r="C949" t="str">
            <v>PEREKEMAN ANALISA MASING-MASING HARGA</v>
          </cell>
        </row>
        <row r="950">
          <cell r="C950" t="str">
            <v>SATUAN.</v>
          </cell>
        </row>
        <row r="951">
          <cell r="C951" t="str">
            <v>Didapat Harga Satuan Pekerjaan :</v>
          </cell>
        </row>
        <row r="953">
          <cell r="C953" t="str">
            <v xml:space="preserve">Rp.  </v>
          </cell>
          <cell r="D953">
            <v>23099428.593232021</v>
          </cell>
          <cell r="E953" t="str">
            <v xml:space="preserve"> / Tiang</v>
          </cell>
        </row>
        <row r="956">
          <cell r="A956" t="str">
            <v>6.</v>
          </cell>
          <cell r="C956" t="str">
            <v>MASA PELAKSANAAN YANG DIPERLUKAN</v>
          </cell>
        </row>
        <row r="957">
          <cell r="C957" t="str">
            <v>Masa Pelaksanaan :</v>
          </cell>
          <cell r="D957" t="str">
            <v>. . . . . . . . . . . .</v>
          </cell>
        </row>
        <row r="959">
          <cell r="A959" t="str">
            <v>7.</v>
          </cell>
          <cell r="C959" t="str">
            <v>VOLUME PEKERJAAN YANG DIPERLUKAN</v>
          </cell>
        </row>
        <row r="960">
          <cell r="C960" t="str">
            <v>Volume pekerjaan  :</v>
          </cell>
          <cell r="D960">
            <v>0</v>
          </cell>
          <cell r="E960" t="str">
            <v>Tiang</v>
          </cell>
        </row>
        <row r="963">
          <cell r="A963" t="str">
            <v>ITEM PEMBAYARAN NO.</v>
          </cell>
          <cell r="D963" t="str">
            <v>:  7.9</v>
          </cell>
          <cell r="J963" t="str">
            <v>Analisa LI-79</v>
          </cell>
        </row>
        <row r="964">
          <cell r="A964" t="str">
            <v>JENIS PEKERJAAN</v>
          </cell>
          <cell r="D964" t="str">
            <v>:  Pasangan Batu (manual)</v>
          </cell>
        </row>
        <row r="965">
          <cell r="A965" t="str">
            <v>SATUAN PEMBAYARAN</v>
          </cell>
          <cell r="D965" t="str">
            <v>:  M3</v>
          </cell>
          <cell r="H965" t="str">
            <v xml:space="preserve">        URAIAN ANALISA HARGA SATUAN</v>
          </cell>
        </row>
        <row r="968">
          <cell r="A968" t="str">
            <v>No.</v>
          </cell>
          <cell r="C968" t="str">
            <v>U R A I A N</v>
          </cell>
          <cell r="G968" t="str">
            <v>KODE</v>
          </cell>
          <cell r="H968" t="str">
            <v>KOEF.</v>
          </cell>
          <cell r="I968" t="str">
            <v>SATUAN</v>
          </cell>
          <cell r="J968" t="str">
            <v>KETERANGAN</v>
          </cell>
        </row>
        <row r="971">
          <cell r="A971" t="str">
            <v>I.</v>
          </cell>
          <cell r="C971" t="str">
            <v>ASUMSI</v>
          </cell>
        </row>
        <row r="972">
          <cell r="A972">
            <v>1</v>
          </cell>
          <cell r="C972" t="str">
            <v>Menggunakan buruh (cara manual)</v>
          </cell>
        </row>
        <row r="973">
          <cell r="A973">
            <v>2</v>
          </cell>
          <cell r="C973" t="str">
            <v>Lokasi pekerjaan : sepanjang jalan</v>
          </cell>
        </row>
        <row r="974">
          <cell r="A974">
            <v>3</v>
          </cell>
          <cell r="C974" t="str">
            <v>Bahan dasar (batu, pasir dan semen) diterima</v>
          </cell>
        </row>
        <row r="975">
          <cell r="C975" t="str">
            <v>seluruhnya di lokasi pekerjaan</v>
          </cell>
        </row>
        <row r="976">
          <cell r="A976">
            <v>4</v>
          </cell>
          <cell r="C976" t="str">
            <v>Jarak rata-rata Base camp ke lokasi pekerjaan</v>
          </cell>
          <cell r="G976" t="str">
            <v>L</v>
          </cell>
          <cell r="H976">
            <v>23.5</v>
          </cell>
          <cell r="I976" t="str">
            <v>KM</v>
          </cell>
        </row>
        <row r="977">
          <cell r="A977">
            <v>5</v>
          </cell>
          <cell r="C977" t="str">
            <v>Jam kerja efektif per-hari</v>
          </cell>
          <cell r="G977" t="str">
            <v>Tk</v>
          </cell>
          <cell r="H977">
            <v>7</v>
          </cell>
          <cell r="I977" t="str">
            <v>jam</v>
          </cell>
        </row>
        <row r="978">
          <cell r="A978">
            <v>6</v>
          </cell>
          <cell r="C978" t="str">
            <v>Perbandingan Pasir &amp; Semen</v>
          </cell>
          <cell r="E978" t="str">
            <v>: - Volume Semen</v>
          </cell>
          <cell r="G978" t="str">
            <v>Sm</v>
          </cell>
          <cell r="H978">
            <v>25</v>
          </cell>
          <cell r="I978" t="str">
            <v>%</v>
          </cell>
          <cell r="J978" t="str">
            <v xml:space="preserve"> Spec.</v>
          </cell>
        </row>
        <row r="979">
          <cell r="E979" t="str">
            <v>: - Volume Pasir</v>
          </cell>
          <cell r="G979" t="str">
            <v>Ps</v>
          </cell>
          <cell r="H979">
            <v>75</v>
          </cell>
          <cell r="I979" t="str">
            <v>%</v>
          </cell>
          <cell r="J979" t="str">
            <v xml:space="preserve"> Spec.</v>
          </cell>
        </row>
        <row r="980">
          <cell r="A980">
            <v>7</v>
          </cell>
          <cell r="C980" t="str">
            <v>Perbandingan Batu &amp; Mortar  :</v>
          </cell>
        </row>
        <row r="981">
          <cell r="C981" t="str">
            <v>- Batu</v>
          </cell>
          <cell r="G981" t="str">
            <v>Bt</v>
          </cell>
          <cell r="H981">
            <v>65</v>
          </cell>
          <cell r="I981" t="str">
            <v>%</v>
          </cell>
        </row>
        <row r="982">
          <cell r="C982" t="str">
            <v>- Mortar (campuran semen &amp; pasir)</v>
          </cell>
          <cell r="G982" t="str">
            <v>Mr</v>
          </cell>
          <cell r="H982">
            <v>35</v>
          </cell>
          <cell r="I982" t="str">
            <v>%</v>
          </cell>
        </row>
        <row r="983">
          <cell r="A983">
            <v>8</v>
          </cell>
          <cell r="C983" t="str">
            <v>Berat Jenis Bahan  :</v>
          </cell>
        </row>
        <row r="984">
          <cell r="C984" t="str">
            <v>- Pasangan Batu Dengan Mortar</v>
          </cell>
          <cell r="G984" t="str">
            <v>D1</v>
          </cell>
          <cell r="H984">
            <v>2.4</v>
          </cell>
          <cell r="I984" t="str">
            <v>ton/M3</v>
          </cell>
        </row>
        <row r="985">
          <cell r="C985" t="str">
            <v>- Batu</v>
          </cell>
          <cell r="G985" t="str">
            <v>D2</v>
          </cell>
          <cell r="H985">
            <v>1.65</v>
          </cell>
          <cell r="I985" t="str">
            <v>ton/M3</v>
          </cell>
        </row>
        <row r="986">
          <cell r="C986" t="str">
            <v>- Adukan (mortar)</v>
          </cell>
          <cell r="G986" t="str">
            <v>D3</v>
          </cell>
          <cell r="H986">
            <v>1.8</v>
          </cell>
          <cell r="I986" t="str">
            <v>ton/M3</v>
          </cell>
        </row>
        <row r="987">
          <cell r="C987" t="str">
            <v>- Pasir</v>
          </cell>
          <cell r="G987" t="str">
            <v>D4</v>
          </cell>
          <cell r="H987">
            <v>1.6</v>
          </cell>
          <cell r="I987" t="str">
            <v>ton/M3</v>
          </cell>
        </row>
        <row r="988">
          <cell r="C988" t="str">
            <v>- Semen Portland</v>
          </cell>
          <cell r="G988" t="str">
            <v>D5</v>
          </cell>
          <cell r="H988">
            <v>1.25</v>
          </cell>
          <cell r="I988" t="str">
            <v>ton/M3</v>
          </cell>
        </row>
        <row r="990">
          <cell r="A990" t="str">
            <v>II.</v>
          </cell>
          <cell r="C990" t="str">
            <v>URUTAN KERJA</v>
          </cell>
        </row>
        <row r="991">
          <cell r="A991">
            <v>1</v>
          </cell>
          <cell r="C991" t="str">
            <v>Semen, pasir dan air dicampur dan diaduk menjadi</v>
          </cell>
        </row>
        <row r="992">
          <cell r="C992" t="str">
            <v>mortar dengan menggunakan alat bantu</v>
          </cell>
        </row>
        <row r="993">
          <cell r="A993">
            <v>2</v>
          </cell>
          <cell r="C993" t="str">
            <v>Batu dibersihkan dan dibasahi seluruh permukaannya</v>
          </cell>
        </row>
        <row r="994">
          <cell r="C994" t="str">
            <v>sebelum dipasang</v>
          </cell>
        </row>
        <row r="995">
          <cell r="A995">
            <v>3</v>
          </cell>
          <cell r="C995" t="str">
            <v>Penyelesaian dan perapihan setelah pemasangan</v>
          </cell>
        </row>
        <row r="997">
          <cell r="A997" t="str">
            <v>III.</v>
          </cell>
          <cell r="C997" t="str">
            <v>PEMAKAIAN BAHAN, ALAT DAN TENAGA</v>
          </cell>
        </row>
        <row r="999">
          <cell r="A999" t="str">
            <v xml:space="preserve">   1.</v>
          </cell>
          <cell r="C999" t="str">
            <v>BAHAN</v>
          </cell>
        </row>
        <row r="1000">
          <cell r="A1000" t="str">
            <v>1.a.</v>
          </cell>
          <cell r="C1000" t="str">
            <v>Batu     -----&gt;</v>
          </cell>
          <cell r="D1000" t="str">
            <v>{(Bt x D1 x 1 M3) : D2} x 1.20</v>
          </cell>
          <cell r="G1000" t="str">
            <v>(M02)</v>
          </cell>
          <cell r="H1000">
            <v>1.1345454545454547</v>
          </cell>
          <cell r="I1000" t="str">
            <v>M3</v>
          </cell>
          <cell r="J1000" t="str">
            <v xml:space="preserve"> Lepas</v>
          </cell>
        </row>
        <row r="1001">
          <cell r="A1001" t="str">
            <v>1.b.</v>
          </cell>
          <cell r="C1001" t="str">
            <v>Semen    ----&gt;</v>
          </cell>
          <cell r="D1001" t="str">
            <v>Sm x {(Mr x D1 x 1 M3} : D3} x 1.05</v>
          </cell>
          <cell r="G1001" t="str">
            <v>(M12)</v>
          </cell>
          <cell r="H1001">
            <v>0.1225</v>
          </cell>
          <cell r="I1001" t="str">
            <v>M3</v>
          </cell>
        </row>
        <row r="1002">
          <cell r="D1002" t="str">
            <v>x {D5 x (1000)}</v>
          </cell>
          <cell r="G1002" t="str">
            <v>(M12)</v>
          </cell>
          <cell r="H1002">
            <v>153</v>
          </cell>
          <cell r="I1002" t="str">
            <v>Kg</v>
          </cell>
        </row>
        <row r="1003">
          <cell r="A1003" t="str">
            <v>1.c.</v>
          </cell>
          <cell r="C1003" t="str">
            <v>Pasir    -----&gt;</v>
          </cell>
          <cell r="D1003" t="str">
            <v>Ps x {(Mr x D1 x 1 M3) : D4} x 1.05</v>
          </cell>
          <cell r="G1003" t="str">
            <v>(M01)</v>
          </cell>
          <cell r="H1003">
            <v>0.41343750000000001</v>
          </cell>
          <cell r="I1003" t="str">
            <v>M3</v>
          </cell>
        </row>
        <row r="1005">
          <cell r="A1005" t="str">
            <v>2.</v>
          </cell>
          <cell r="C1005" t="str">
            <v>ALAT</v>
          </cell>
        </row>
        <row r="1006">
          <cell r="A1006" t="str">
            <v>2.a.</v>
          </cell>
          <cell r="C1006" t="str">
            <v>ALAT BANTU</v>
          </cell>
        </row>
        <row r="1007">
          <cell r="C1007" t="str">
            <v>Diperlukan  :</v>
          </cell>
        </row>
        <row r="1008">
          <cell r="C1008" t="str">
            <v>- Sekop</v>
          </cell>
          <cell r="D1008" t="str">
            <v>=  4  buah</v>
          </cell>
        </row>
        <row r="1009">
          <cell r="C1009" t="str">
            <v>- Pacul</v>
          </cell>
          <cell r="D1009" t="str">
            <v>=  4  buah</v>
          </cell>
        </row>
        <row r="1010">
          <cell r="C1010" t="str">
            <v>- Sendok Semen</v>
          </cell>
          <cell r="D1010" t="str">
            <v>=  4  buah</v>
          </cell>
        </row>
        <row r="1011">
          <cell r="C1011" t="str">
            <v>- Ember Cor</v>
          </cell>
          <cell r="D1011" t="str">
            <v>=  4  buah</v>
          </cell>
        </row>
        <row r="1012">
          <cell r="C1012" t="str">
            <v>- Gerobak Dorong</v>
          </cell>
          <cell r="D1012" t="str">
            <v>=  2  buah</v>
          </cell>
        </row>
        <row r="1014">
          <cell r="A1014" t="str">
            <v>3.</v>
          </cell>
          <cell r="C1014" t="str">
            <v>TENAGA</v>
          </cell>
        </row>
        <row r="1015">
          <cell r="C1015" t="str">
            <v>Produksi Pasangan Batu dalam 1 hari</v>
          </cell>
          <cell r="G1015" t="str">
            <v>Qt</v>
          </cell>
          <cell r="H1015">
            <v>5</v>
          </cell>
          <cell r="I1015" t="str">
            <v>M3</v>
          </cell>
        </row>
        <row r="1017">
          <cell r="C1017" t="str">
            <v>Kebutuhan tenaga :</v>
          </cell>
          <cell r="D1017" t="str">
            <v>- Mandor</v>
          </cell>
          <cell r="G1017" t="str">
            <v>M</v>
          </cell>
          <cell r="H1017">
            <v>1</v>
          </cell>
          <cell r="I1017" t="str">
            <v>orang</v>
          </cell>
        </row>
        <row r="1018">
          <cell r="D1018" t="str">
            <v>- Tukang Batu</v>
          </cell>
          <cell r="G1018" t="str">
            <v>Tb</v>
          </cell>
          <cell r="H1018">
            <v>3</v>
          </cell>
          <cell r="I1018" t="str">
            <v>orang</v>
          </cell>
        </row>
        <row r="1019">
          <cell r="D1019" t="str">
            <v>- Pekerja</v>
          </cell>
          <cell r="G1019" t="str">
            <v>P</v>
          </cell>
          <cell r="H1019">
            <v>12</v>
          </cell>
          <cell r="I1019" t="str">
            <v>orang</v>
          </cell>
        </row>
        <row r="1023">
          <cell r="J1023" t="str">
            <v>Berlanjut ke hal. berikut.</v>
          </cell>
        </row>
        <row r="1024">
          <cell r="A1024" t="str">
            <v>ITEM PEMBAYARAN NO.</v>
          </cell>
          <cell r="D1024" t="str">
            <v>:  7.9</v>
          </cell>
          <cell r="J1024" t="str">
            <v>Analisa LI-79</v>
          </cell>
        </row>
        <row r="1025">
          <cell r="A1025" t="str">
            <v>JENIS PEKERJAAN</v>
          </cell>
          <cell r="D1025" t="str">
            <v>:  Pasangan Batu (manual)</v>
          </cell>
        </row>
        <row r="1026">
          <cell r="A1026" t="str">
            <v>SATUAN PEMBAYARAN</v>
          </cell>
          <cell r="D1026" t="str">
            <v>:  M3</v>
          </cell>
          <cell r="H1026" t="str">
            <v xml:space="preserve">        URAIAN ANALISA HARGA SATUAN</v>
          </cell>
        </row>
        <row r="1027">
          <cell r="J1027" t="str">
            <v>Lanjutan</v>
          </cell>
        </row>
        <row r="1029">
          <cell r="A1029" t="str">
            <v>No.</v>
          </cell>
          <cell r="C1029" t="str">
            <v>U R A I A N</v>
          </cell>
          <cell r="G1029" t="str">
            <v>KODE</v>
          </cell>
          <cell r="H1029" t="str">
            <v>KOEF.</v>
          </cell>
          <cell r="I1029" t="str">
            <v>SATUAN</v>
          </cell>
          <cell r="J1029" t="str">
            <v>KETERANGAN</v>
          </cell>
        </row>
        <row r="1033">
          <cell r="C1033" t="str">
            <v>Koefisien Tenaga / M3   :</v>
          </cell>
        </row>
        <row r="1034">
          <cell r="D1034" t="str">
            <v>-  Mandor</v>
          </cell>
          <cell r="E1034" t="str">
            <v>= (Tk x M) : Qt</v>
          </cell>
          <cell r="G1034" t="str">
            <v>(L03)</v>
          </cell>
          <cell r="H1034">
            <v>1.4</v>
          </cell>
          <cell r="I1034" t="str">
            <v>jam</v>
          </cell>
        </row>
        <row r="1035">
          <cell r="D1035" t="str">
            <v>-  Tukang</v>
          </cell>
          <cell r="E1035" t="str">
            <v>= (Tk x Tb) : Qt</v>
          </cell>
          <cell r="G1035" t="str">
            <v>(L02)</v>
          </cell>
          <cell r="H1035">
            <v>4.2</v>
          </cell>
          <cell r="I1035" t="str">
            <v>jam</v>
          </cell>
        </row>
        <row r="1036">
          <cell r="D1036" t="str">
            <v>-  Pekerja</v>
          </cell>
          <cell r="E1036" t="str">
            <v>= (Tk x P) : Qt</v>
          </cell>
          <cell r="G1036" t="str">
            <v>(L01)</v>
          </cell>
          <cell r="H1036">
            <v>16.8</v>
          </cell>
          <cell r="I1036" t="str">
            <v>jam</v>
          </cell>
        </row>
        <row r="1038">
          <cell r="A1038" t="str">
            <v>4.</v>
          </cell>
          <cell r="C1038" t="str">
            <v>HARGA DASAR SATUAN UPAH, BAHAN DAN ALAT</v>
          </cell>
        </row>
        <row r="1039">
          <cell r="C1039" t="str">
            <v>Lihat lampiran.</v>
          </cell>
        </row>
        <row r="1041">
          <cell r="A1041" t="str">
            <v>5.</v>
          </cell>
          <cell r="C1041" t="str">
            <v>ANALISA HARGA SATUAN PEKERJAAN</v>
          </cell>
        </row>
        <row r="1042">
          <cell r="C1042" t="str">
            <v>Lihat perhitungan dalam LAMPIRAN 2 PENAWARAN</v>
          </cell>
        </row>
        <row r="1043">
          <cell r="C1043" t="str">
            <v>PEREKEMAN ANALISA MASING-MASING HARGA</v>
          </cell>
        </row>
        <row r="1044">
          <cell r="C1044" t="str">
            <v>SATUAN.</v>
          </cell>
        </row>
        <row r="1045">
          <cell r="C1045" t="str">
            <v>Didapat Harga Satuan Pekerjaan :</v>
          </cell>
        </row>
        <row r="1047">
          <cell r="C1047" t="str">
            <v xml:space="preserve">Rp.  </v>
          </cell>
          <cell r="D1047">
            <v>371451.37500000006</v>
          </cell>
          <cell r="E1047" t="str">
            <v xml:space="preserve"> / M3</v>
          </cell>
        </row>
        <row r="1050">
          <cell r="A1050" t="str">
            <v>6.</v>
          </cell>
          <cell r="C1050" t="str">
            <v>MASA PELAKSANAAN YANG DIPERLUKAN</v>
          </cell>
        </row>
        <row r="1051">
          <cell r="C1051" t="str">
            <v>Masa Pelaksanaan :</v>
          </cell>
          <cell r="D1051" t="str">
            <v>. . . . . . . . . . . .</v>
          </cell>
        </row>
        <row r="1053">
          <cell r="A1053" t="str">
            <v>7.</v>
          </cell>
          <cell r="C1053" t="str">
            <v>VOLUME PEKERJAAN YANG DIPERLUKAN</v>
          </cell>
        </row>
        <row r="1054">
          <cell r="C1054" t="str">
            <v>Volume pekerjaan  :</v>
          </cell>
          <cell r="D1054">
            <v>0</v>
          </cell>
          <cell r="E1054" t="str">
            <v>M3</v>
          </cell>
        </row>
        <row r="1083">
          <cell r="A1083" t="str">
            <v>ITEM PEMBAYARAN NO.</v>
          </cell>
          <cell r="D1083" t="str">
            <v>:  7.9 (1)</v>
          </cell>
          <cell r="J1083" t="str">
            <v>Analisa EI-79</v>
          </cell>
        </row>
        <row r="1084">
          <cell r="A1084" t="str">
            <v>JENIS PEKERJAAN</v>
          </cell>
          <cell r="D1084" t="str">
            <v>:  Pasangan Batu (mekanik)</v>
          </cell>
        </row>
        <row r="1085">
          <cell r="A1085" t="str">
            <v>SATUAN PEMBAYARAN</v>
          </cell>
          <cell r="D1085" t="str">
            <v>:  M3</v>
          </cell>
          <cell r="H1085" t="str">
            <v xml:space="preserve">        URAIAN ANALISA HARGA SATUAN</v>
          </cell>
        </row>
        <row r="1088">
          <cell r="A1088" t="str">
            <v>No.</v>
          </cell>
          <cell r="C1088" t="str">
            <v>U R A I A N</v>
          </cell>
          <cell r="G1088" t="str">
            <v>KODE</v>
          </cell>
          <cell r="H1088" t="str">
            <v>KOEF.</v>
          </cell>
          <cell r="I1088" t="str">
            <v>SATUAN</v>
          </cell>
          <cell r="J1088" t="str">
            <v>KETERANGAN</v>
          </cell>
        </row>
        <row r="1091">
          <cell r="A1091" t="str">
            <v>I.</v>
          </cell>
          <cell r="C1091" t="str">
            <v>ASUMSI</v>
          </cell>
        </row>
        <row r="1092">
          <cell r="A1092">
            <v>1</v>
          </cell>
          <cell r="C1092" t="str">
            <v>Menggunakan alat (cara mekanik)</v>
          </cell>
        </row>
        <row r="1093">
          <cell r="A1093">
            <v>2</v>
          </cell>
          <cell r="C1093" t="str">
            <v>Lokasi pekerjaan : sepanjang jalan</v>
          </cell>
        </row>
        <row r="1094">
          <cell r="A1094">
            <v>3</v>
          </cell>
          <cell r="C1094" t="str">
            <v>Bahan dasar (batu, pasir dan semen) diterima</v>
          </cell>
        </row>
        <row r="1095">
          <cell r="C1095" t="str">
            <v>seluruhnya di lokasi pekerjaan</v>
          </cell>
        </row>
        <row r="1096">
          <cell r="A1096">
            <v>4</v>
          </cell>
          <cell r="C1096" t="str">
            <v>Jarak rata-rata Base camp ke lokasi pekerjaan</v>
          </cell>
          <cell r="G1096" t="str">
            <v>L</v>
          </cell>
          <cell r="H1096">
            <v>23.5</v>
          </cell>
          <cell r="I1096" t="str">
            <v>KM</v>
          </cell>
        </row>
        <row r="1097">
          <cell r="A1097">
            <v>5</v>
          </cell>
          <cell r="C1097" t="str">
            <v>Jam kerja efektif per-hari</v>
          </cell>
          <cell r="G1097" t="str">
            <v>Tk</v>
          </cell>
          <cell r="H1097">
            <v>7</v>
          </cell>
          <cell r="I1097" t="str">
            <v>jam</v>
          </cell>
        </row>
        <row r="1098">
          <cell r="A1098">
            <v>6</v>
          </cell>
          <cell r="C1098" t="str">
            <v>Perbandingan Pasir &amp; Semen</v>
          </cell>
          <cell r="E1098" t="str">
            <v>: - Volume Semen</v>
          </cell>
          <cell r="G1098" t="str">
            <v>Sm</v>
          </cell>
          <cell r="H1098">
            <v>25</v>
          </cell>
          <cell r="I1098" t="str">
            <v>%</v>
          </cell>
          <cell r="J1098" t="str">
            <v xml:space="preserve"> Spec.</v>
          </cell>
        </row>
        <row r="1099">
          <cell r="E1099" t="str">
            <v>: - Volume Pasir</v>
          </cell>
          <cell r="G1099" t="str">
            <v>Ps</v>
          </cell>
          <cell r="H1099">
            <v>75</v>
          </cell>
          <cell r="I1099" t="str">
            <v>%</v>
          </cell>
          <cell r="J1099" t="str">
            <v xml:space="preserve"> Spec.</v>
          </cell>
        </row>
        <row r="1100">
          <cell r="A1100">
            <v>7</v>
          </cell>
          <cell r="C1100" t="str">
            <v>Perbandingan Batu &amp; Mortar  :</v>
          </cell>
        </row>
        <row r="1101">
          <cell r="C1101" t="str">
            <v>- Batu</v>
          </cell>
          <cell r="G1101" t="str">
            <v>Bt</v>
          </cell>
          <cell r="H1101">
            <v>65</v>
          </cell>
          <cell r="I1101" t="str">
            <v>%</v>
          </cell>
        </row>
        <row r="1102">
          <cell r="C1102" t="str">
            <v>- Mortar (campuran semen &amp; pasir)</v>
          </cell>
          <cell r="G1102" t="str">
            <v>Mr</v>
          </cell>
          <cell r="H1102">
            <v>35</v>
          </cell>
          <cell r="I1102" t="str">
            <v>%</v>
          </cell>
        </row>
        <row r="1103">
          <cell r="A1103">
            <v>8</v>
          </cell>
          <cell r="C1103" t="str">
            <v>Berat Jenis Bahan  :</v>
          </cell>
        </row>
        <row r="1104">
          <cell r="C1104" t="str">
            <v>- Pasangan Batu Dengan Mortar</v>
          </cell>
          <cell r="G1104" t="str">
            <v>D1</v>
          </cell>
          <cell r="H1104">
            <v>2.4</v>
          </cell>
          <cell r="I1104" t="str">
            <v>ton/M3</v>
          </cell>
        </row>
        <row r="1105">
          <cell r="C1105" t="str">
            <v>- Batu</v>
          </cell>
          <cell r="G1105" t="str">
            <v>D2</v>
          </cell>
          <cell r="H1105">
            <v>1.65</v>
          </cell>
          <cell r="I1105" t="str">
            <v>ton/M3</v>
          </cell>
        </row>
        <row r="1106">
          <cell r="C1106" t="str">
            <v>- Adukan (mortar)</v>
          </cell>
          <cell r="G1106" t="str">
            <v>D3</v>
          </cell>
          <cell r="H1106">
            <v>1.8</v>
          </cell>
          <cell r="I1106" t="str">
            <v>ton/M3</v>
          </cell>
        </row>
        <row r="1107">
          <cell r="C1107" t="str">
            <v>- Pasir</v>
          </cell>
          <cell r="G1107" t="str">
            <v>D4</v>
          </cell>
          <cell r="H1107">
            <v>1.6</v>
          </cell>
          <cell r="I1107" t="str">
            <v>ton/M3</v>
          </cell>
        </row>
        <row r="1108">
          <cell r="C1108" t="str">
            <v>- Semen Portland</v>
          </cell>
          <cell r="G1108" t="str">
            <v>D5</v>
          </cell>
          <cell r="H1108">
            <v>1.25</v>
          </cell>
          <cell r="I1108" t="str">
            <v>ton/M3</v>
          </cell>
        </row>
        <row r="1110">
          <cell r="A1110" t="str">
            <v>II.</v>
          </cell>
          <cell r="C1110" t="str">
            <v>URUTAN KERJA</v>
          </cell>
        </row>
        <row r="1111">
          <cell r="A1111">
            <v>1</v>
          </cell>
          <cell r="C1111" t="str">
            <v>Semen, pasir dan air dicampur dan diaduk menjadi</v>
          </cell>
        </row>
        <row r="1112">
          <cell r="C1112" t="str">
            <v>mortar dengan menggunakan Concrete Mixer</v>
          </cell>
        </row>
        <row r="1113">
          <cell r="A1113">
            <v>2</v>
          </cell>
          <cell r="C1113" t="str">
            <v>Batu dibersihkan dan dibasahi seluruh permukaannya</v>
          </cell>
        </row>
        <row r="1114">
          <cell r="C1114" t="str">
            <v>sebelum dipasang</v>
          </cell>
        </row>
        <row r="1115">
          <cell r="A1115">
            <v>3</v>
          </cell>
          <cell r="C1115" t="str">
            <v>Penyelesaian dan perapihan setelah pemasangan</v>
          </cell>
        </row>
        <row r="1117">
          <cell r="A1117" t="str">
            <v>III.</v>
          </cell>
          <cell r="C1117" t="str">
            <v>PEMAKAIAN BAHAN, ALAT DAN TENAGA</v>
          </cell>
        </row>
        <row r="1119">
          <cell r="A1119" t="str">
            <v xml:space="preserve">   1.</v>
          </cell>
          <cell r="C1119" t="str">
            <v>BAHAN</v>
          </cell>
        </row>
        <row r="1120">
          <cell r="A1120" t="str">
            <v>1.a.</v>
          </cell>
          <cell r="C1120" t="str">
            <v>Batu     -----&gt;</v>
          </cell>
          <cell r="D1120" t="str">
            <v>{(Bt x D1 x 1 M3) : D2} x 1.20</v>
          </cell>
          <cell r="G1120" t="str">
            <v>(M02)</v>
          </cell>
          <cell r="H1120">
            <v>1.1345454545454547</v>
          </cell>
          <cell r="I1120" t="str">
            <v>M3</v>
          </cell>
          <cell r="J1120" t="str">
            <v xml:space="preserve"> Lepas</v>
          </cell>
        </row>
        <row r="1121">
          <cell r="A1121" t="str">
            <v>1.b.</v>
          </cell>
          <cell r="C1121" t="str">
            <v>Semen    ----&gt;</v>
          </cell>
          <cell r="D1121" t="str">
            <v>Sm x {(Mr x D1 x 1 M3} : D3} x 1.05</v>
          </cell>
          <cell r="G1121" t="str">
            <v>(M12)</v>
          </cell>
          <cell r="H1121">
            <v>0.1225</v>
          </cell>
          <cell r="I1121" t="str">
            <v>M3</v>
          </cell>
        </row>
        <row r="1122">
          <cell r="D1122" t="str">
            <v>x {D5 x (1000)}</v>
          </cell>
          <cell r="G1122" t="str">
            <v>(M12)</v>
          </cell>
          <cell r="H1122">
            <v>153</v>
          </cell>
          <cell r="I1122" t="str">
            <v>Kg</v>
          </cell>
        </row>
        <row r="1123">
          <cell r="A1123" t="str">
            <v>1.c.</v>
          </cell>
          <cell r="C1123" t="str">
            <v>Pasir    -----&gt;</v>
          </cell>
          <cell r="D1123" t="str">
            <v>Ps x {(Mr x D1 x 1 M3) : D4} x 1.05</v>
          </cell>
          <cell r="G1123" t="str">
            <v>(M01)</v>
          </cell>
          <cell r="H1123">
            <v>0.41343750000000001</v>
          </cell>
          <cell r="I1123" t="str">
            <v>M3</v>
          </cell>
        </row>
        <row r="1125">
          <cell r="A1125" t="str">
            <v>2.</v>
          </cell>
          <cell r="C1125" t="str">
            <v>ALAT</v>
          </cell>
        </row>
        <row r="1126">
          <cell r="A1126" t="str">
            <v>2.a.</v>
          </cell>
          <cell r="C1126" t="str">
            <v>CONCRETE MIXER</v>
          </cell>
          <cell r="G1126" t="str">
            <v>(E06)</v>
          </cell>
        </row>
        <row r="1127">
          <cell r="C1127" t="str">
            <v>Kapasitas Alat</v>
          </cell>
          <cell r="G1127" t="str">
            <v>V</v>
          </cell>
          <cell r="H1127">
            <v>500</v>
          </cell>
          <cell r="I1127" t="str">
            <v>liter</v>
          </cell>
        </row>
        <row r="1128">
          <cell r="C1128" t="str">
            <v>Faktor Efisiensi Alat</v>
          </cell>
          <cell r="G1128" t="str">
            <v>Fa</v>
          </cell>
          <cell r="H1128">
            <v>0.83</v>
          </cell>
          <cell r="I1128" t="str">
            <v>-</v>
          </cell>
        </row>
        <row r="1129">
          <cell r="C1129" t="str">
            <v>Waktu siklus   :</v>
          </cell>
          <cell r="D1129" t="str">
            <v>(T1 + T2 + T3 + T4)</v>
          </cell>
          <cell r="G1129" t="str">
            <v>Ts</v>
          </cell>
        </row>
        <row r="1130">
          <cell r="C1130" t="str">
            <v>-  Memuat</v>
          </cell>
          <cell r="G1130" t="str">
            <v>T1</v>
          </cell>
          <cell r="H1130">
            <v>6</v>
          </cell>
          <cell r="I1130" t="str">
            <v>menit</v>
          </cell>
        </row>
        <row r="1131">
          <cell r="C1131" t="str">
            <v>-  Mengaduk</v>
          </cell>
          <cell r="G1131" t="str">
            <v>T2</v>
          </cell>
          <cell r="H1131">
            <v>4</v>
          </cell>
          <cell r="I1131" t="str">
            <v>menit</v>
          </cell>
        </row>
        <row r="1132">
          <cell r="C1132" t="str">
            <v>-  Menuang</v>
          </cell>
          <cell r="G1132" t="str">
            <v>T3</v>
          </cell>
          <cell r="H1132">
            <v>2</v>
          </cell>
          <cell r="I1132" t="str">
            <v>menit</v>
          </cell>
        </row>
        <row r="1133">
          <cell r="C1133" t="str">
            <v>-  Tunggu, dll.</v>
          </cell>
          <cell r="G1133" t="str">
            <v>T4</v>
          </cell>
          <cell r="H1133">
            <v>10</v>
          </cell>
          <cell r="I1133" t="str">
            <v>menit</v>
          </cell>
        </row>
        <row r="1134">
          <cell r="G1134" t="str">
            <v>Ts</v>
          </cell>
          <cell r="H1134">
            <v>22</v>
          </cell>
          <cell r="I1134" t="str">
            <v>menit</v>
          </cell>
        </row>
        <row r="1136">
          <cell r="C1136" t="str">
            <v>Kap. Prod. / jam  =</v>
          </cell>
          <cell r="D1136" t="str">
            <v>V x Fa x 60</v>
          </cell>
          <cell r="G1136" t="str">
            <v>Q1</v>
          </cell>
          <cell r="H1136">
            <v>1.1318181818181818</v>
          </cell>
          <cell r="I1136" t="str">
            <v>M3</v>
          </cell>
        </row>
        <row r="1137">
          <cell r="D1137" t="str">
            <v>1000 x Ts</v>
          </cell>
        </row>
        <row r="1139">
          <cell r="C1139" t="str">
            <v>Koefisien Alat / M3</v>
          </cell>
          <cell r="D1139" t="str">
            <v xml:space="preserve">  =   1  :  Q1</v>
          </cell>
          <cell r="G1139" t="str">
            <v>(E06)</v>
          </cell>
          <cell r="H1139">
            <v>0.88353413654618473</v>
          </cell>
          <cell r="I1139" t="str">
            <v>jam</v>
          </cell>
        </row>
        <row r="1143">
          <cell r="J1143" t="str">
            <v>Berlanjut ke hal. berikut.</v>
          </cell>
        </row>
        <row r="1144">
          <cell r="A1144" t="str">
            <v>ITEM PEMBAYARAN NO.</v>
          </cell>
          <cell r="D1144" t="str">
            <v>:  7.9 (1)</v>
          </cell>
          <cell r="J1144" t="str">
            <v>Analisa EI-79</v>
          </cell>
        </row>
        <row r="1145">
          <cell r="A1145" t="str">
            <v>JENIS PEKERJAAN</v>
          </cell>
          <cell r="D1145" t="str">
            <v>:  Pasangan Batu (mekanik)</v>
          </cell>
        </row>
        <row r="1146">
          <cell r="A1146" t="str">
            <v>SATUAN PEMBAYARAN</v>
          </cell>
          <cell r="D1146" t="str">
            <v>:  M3</v>
          </cell>
          <cell r="H1146" t="str">
            <v xml:space="preserve">        URAIAN ANALISA HARGA SATUAN</v>
          </cell>
        </row>
        <row r="1147">
          <cell r="J1147" t="str">
            <v>Lanjutan</v>
          </cell>
        </row>
        <row r="1149">
          <cell r="A1149" t="str">
            <v>No.</v>
          </cell>
          <cell r="C1149" t="str">
            <v>U R A I A N</v>
          </cell>
          <cell r="G1149" t="str">
            <v>KODE</v>
          </cell>
          <cell r="H1149" t="str">
            <v>KOEF.</v>
          </cell>
          <cell r="I1149" t="str">
            <v>SATUAN</v>
          </cell>
          <cell r="J1149" t="str">
            <v>KETERANGAN</v>
          </cell>
        </row>
        <row r="1152">
          <cell r="A1152" t="str">
            <v>2.b.</v>
          </cell>
          <cell r="C1152" t="str">
            <v>WATER TANK TRUCK</v>
          </cell>
          <cell r="G1152" t="str">
            <v>(E23)</v>
          </cell>
        </row>
        <row r="1153">
          <cell r="C1153" t="str">
            <v>Volume Tanki Air</v>
          </cell>
          <cell r="G1153" t="str">
            <v>V</v>
          </cell>
          <cell r="H1153">
            <v>4</v>
          </cell>
          <cell r="I1153" t="str">
            <v>M3</v>
          </cell>
        </row>
        <row r="1154">
          <cell r="C1154" t="str">
            <v>Kebutuhan air / M3 pasangan batu</v>
          </cell>
          <cell r="G1154" t="str">
            <v>Wc</v>
          </cell>
          <cell r="H1154">
            <v>2.448</v>
          </cell>
          <cell r="I1154" t="str">
            <v>M3</v>
          </cell>
        </row>
        <row r="1155">
          <cell r="C1155" t="str">
            <v>Faktor Efiesiensi Alat</v>
          </cell>
          <cell r="G1155" t="str">
            <v>Fa</v>
          </cell>
          <cell r="H1155">
            <v>0.83</v>
          </cell>
          <cell r="I1155" t="str">
            <v>-</v>
          </cell>
        </row>
        <row r="1156">
          <cell r="C1156" t="str">
            <v>Pengisian Tanki / jam</v>
          </cell>
          <cell r="G1156" t="str">
            <v>n</v>
          </cell>
          <cell r="H1156">
            <v>2</v>
          </cell>
          <cell r="I1156" t="str">
            <v>kali</v>
          </cell>
        </row>
        <row r="1158">
          <cell r="C1158" t="str">
            <v>Kap. Prod. / jam  =</v>
          </cell>
          <cell r="D1158" t="str">
            <v>V x Fa x n</v>
          </cell>
          <cell r="G1158" t="str">
            <v>Q2</v>
          </cell>
          <cell r="H1158">
            <v>2.7124183006535949</v>
          </cell>
          <cell r="I1158" t="str">
            <v>M3</v>
          </cell>
        </row>
        <row r="1159">
          <cell r="D1159" t="str">
            <v>Wc</v>
          </cell>
        </row>
        <row r="1161">
          <cell r="C1161" t="str">
            <v>Koefisien Alat / M3</v>
          </cell>
          <cell r="D1161" t="str">
            <v xml:space="preserve">  =   1  :  Q2</v>
          </cell>
          <cell r="G1161" t="str">
            <v>(E23)</v>
          </cell>
          <cell r="H1161">
            <v>0.36867469879518072</v>
          </cell>
          <cell r="I1161" t="str">
            <v>jam</v>
          </cell>
        </row>
        <row r="1163">
          <cell r="A1163" t="str">
            <v>2.c.</v>
          </cell>
          <cell r="C1163" t="str">
            <v>ALAT BANTU</v>
          </cell>
        </row>
        <row r="1164">
          <cell r="C1164" t="str">
            <v>Diperlukan  :</v>
          </cell>
        </row>
        <row r="1165">
          <cell r="C1165" t="str">
            <v>- Sekop</v>
          </cell>
          <cell r="D1165" t="str">
            <v>=  2  buah</v>
          </cell>
        </row>
        <row r="1166">
          <cell r="C1166" t="str">
            <v>- Pacul</v>
          </cell>
          <cell r="D1166" t="str">
            <v>=  2  buah</v>
          </cell>
        </row>
        <row r="1167">
          <cell r="C1167" t="str">
            <v>- Sendok Semen</v>
          </cell>
          <cell r="D1167" t="str">
            <v>=  2  buah</v>
          </cell>
        </row>
        <row r="1168">
          <cell r="C1168" t="str">
            <v>- Ember Cor</v>
          </cell>
          <cell r="D1168" t="str">
            <v>=  4  buah</v>
          </cell>
        </row>
        <row r="1169">
          <cell r="C1169" t="str">
            <v>- Gerobak Dorong</v>
          </cell>
          <cell r="D1169" t="str">
            <v>=  1  buah</v>
          </cell>
        </row>
        <row r="1171">
          <cell r="A1171" t="str">
            <v>3.</v>
          </cell>
          <cell r="C1171" t="str">
            <v>TENAGA</v>
          </cell>
        </row>
        <row r="1172">
          <cell r="C1172" t="str">
            <v>Produksi menetukan :  Produksi Concrete Mxer</v>
          </cell>
          <cell r="G1172" t="str">
            <v>Q1</v>
          </cell>
          <cell r="H1172">
            <v>1.1318181818181818</v>
          </cell>
          <cell r="I1172" t="str">
            <v>M3/Jam</v>
          </cell>
        </row>
        <row r="1173">
          <cell r="C1173" t="str">
            <v>Produksi Pasangan Batu dengan Mortar / hari =  Tk x Q1</v>
          </cell>
          <cell r="G1173" t="str">
            <v>Qt</v>
          </cell>
          <cell r="H1173">
            <v>7.9227272727272728</v>
          </cell>
          <cell r="I1173" t="str">
            <v>M3</v>
          </cell>
        </row>
        <row r="1174">
          <cell r="C1174" t="str">
            <v>Kebutuhan tenaga :</v>
          </cell>
          <cell r="D1174" t="str">
            <v>- Mandor</v>
          </cell>
          <cell r="G1174" t="str">
            <v>M</v>
          </cell>
          <cell r="H1174">
            <v>1</v>
          </cell>
          <cell r="I1174" t="str">
            <v>orang</v>
          </cell>
        </row>
        <row r="1175">
          <cell r="D1175" t="str">
            <v>- Tukang Batu</v>
          </cell>
          <cell r="G1175" t="str">
            <v>Tb</v>
          </cell>
          <cell r="H1175">
            <v>2</v>
          </cell>
          <cell r="I1175" t="str">
            <v>orang</v>
          </cell>
        </row>
        <row r="1176">
          <cell r="D1176" t="str">
            <v>- Pekerja</v>
          </cell>
          <cell r="G1176" t="str">
            <v>P</v>
          </cell>
          <cell r="H1176">
            <v>8</v>
          </cell>
          <cell r="I1176" t="str">
            <v>orang</v>
          </cell>
        </row>
        <row r="1178">
          <cell r="C1178" t="str">
            <v>Koefisien Tenaga / M3   :</v>
          </cell>
        </row>
        <row r="1179">
          <cell r="D1179" t="str">
            <v>-  Mandor</v>
          </cell>
          <cell r="E1179" t="str">
            <v>= (Tk x M) : Qt</v>
          </cell>
          <cell r="G1179" t="str">
            <v>(L03)</v>
          </cell>
          <cell r="H1179">
            <v>0.88353413654618473</v>
          </cell>
          <cell r="I1179" t="str">
            <v>jam</v>
          </cell>
        </row>
        <row r="1180">
          <cell r="D1180" t="str">
            <v>-  Tukang</v>
          </cell>
          <cell r="E1180" t="str">
            <v>= (Tk x Tb) : Qt</v>
          </cell>
          <cell r="G1180" t="str">
            <v>(L02)</v>
          </cell>
          <cell r="H1180">
            <v>1.7670682730923695</v>
          </cell>
          <cell r="I1180" t="str">
            <v>jam</v>
          </cell>
        </row>
        <row r="1181">
          <cell r="D1181" t="str">
            <v>-  Pekerja</v>
          </cell>
          <cell r="E1181" t="str">
            <v>= (Tk x P) : Qt</v>
          </cell>
          <cell r="G1181" t="str">
            <v>(L01)</v>
          </cell>
          <cell r="H1181">
            <v>7.0682730923694779</v>
          </cell>
          <cell r="I1181" t="str">
            <v>jam</v>
          </cell>
        </row>
        <row r="1183">
          <cell r="A1183" t="str">
            <v>4.</v>
          </cell>
          <cell r="C1183" t="str">
            <v>HARGA DASAR SATUAN UPAH, BAHAN DAN ALAT</v>
          </cell>
        </row>
        <row r="1184">
          <cell r="C1184" t="str">
            <v>Lihat lampiran.</v>
          </cell>
        </row>
        <row r="1186">
          <cell r="A1186" t="str">
            <v>5.</v>
          </cell>
          <cell r="C1186" t="str">
            <v>ANALISA HARGA SATUAN PEKERJAAN</v>
          </cell>
        </row>
        <row r="1187">
          <cell r="C1187" t="str">
            <v>Lihat perhitungan dalam LAMPIRAN 2 PENAWARAN</v>
          </cell>
        </row>
        <row r="1188">
          <cell r="C1188" t="str">
            <v>PEREKEMAN ANALISA MASING-MASING HARGA</v>
          </cell>
        </row>
        <row r="1189">
          <cell r="C1189" t="str">
            <v>SATUAN.</v>
          </cell>
        </row>
        <row r="1190">
          <cell r="C1190" t="str">
            <v>Didapat Harga Satuan Pekerjaan :</v>
          </cell>
        </row>
        <row r="1192">
          <cell r="C1192" t="str">
            <v xml:space="preserve">Rp.  </v>
          </cell>
          <cell r="D1192">
            <v>383708.96091402246</v>
          </cell>
          <cell r="E1192" t="str">
            <v xml:space="preserve"> / M3</v>
          </cell>
        </row>
        <row r="1195">
          <cell r="A1195" t="str">
            <v>6.</v>
          </cell>
          <cell r="C1195" t="str">
            <v>MASA PELAKSANAAN YANG DIPERLUKAN</v>
          </cell>
        </row>
        <row r="1196">
          <cell r="C1196" t="str">
            <v>Masa Pelaksanaan :</v>
          </cell>
          <cell r="D1196" t="str">
            <v>. . . . . . . . . . . .</v>
          </cell>
        </row>
        <row r="1198">
          <cell r="A1198" t="str">
            <v>7.</v>
          </cell>
          <cell r="C1198" t="str">
            <v>VOLUME PEKERJAAN YANG DIPERLUKAN</v>
          </cell>
        </row>
        <row r="1199">
          <cell r="C1199" t="str">
            <v>Volume pekerjaan  :</v>
          </cell>
          <cell r="D1199">
            <v>0</v>
          </cell>
          <cell r="E1199" t="str">
            <v>M3</v>
          </cell>
        </row>
        <row r="1203">
          <cell r="A1203" t="str">
            <v>ITEM PEMBAYARAN NO.</v>
          </cell>
          <cell r="D1203" t="str">
            <v>:  7.10 (1)</v>
          </cell>
          <cell r="J1203" t="str">
            <v>Analisa EI-7101</v>
          </cell>
        </row>
        <row r="1204">
          <cell r="A1204" t="str">
            <v>JENIS PEKERJAAN</v>
          </cell>
          <cell r="D1204" t="str">
            <v>:  Pasangan Batu Kosong + Adukan</v>
          </cell>
        </row>
        <row r="1205">
          <cell r="A1205" t="str">
            <v>SATUAN PEMBAYARAN</v>
          </cell>
          <cell r="D1205" t="str">
            <v>:  M3</v>
          </cell>
          <cell r="H1205" t="str">
            <v xml:space="preserve">        URAIAN ANALISA HARGA SATUAN</v>
          </cell>
        </row>
        <row r="1208">
          <cell r="A1208" t="str">
            <v>No.</v>
          </cell>
          <cell r="C1208" t="str">
            <v>U R A I A N</v>
          </cell>
          <cell r="G1208" t="str">
            <v>KODE</v>
          </cell>
          <cell r="H1208" t="str">
            <v>KOEF.</v>
          </cell>
          <cell r="I1208" t="str">
            <v>SATUAN</v>
          </cell>
          <cell r="J1208" t="str">
            <v>KETERANGAN</v>
          </cell>
        </row>
        <row r="1211">
          <cell r="A1211" t="str">
            <v>I.</v>
          </cell>
          <cell r="C1211" t="str">
            <v>ASUMSI</v>
          </cell>
        </row>
        <row r="1212">
          <cell r="A1212">
            <v>1</v>
          </cell>
          <cell r="C1212" t="str">
            <v>Menggunakan alat (cara mekanik)</v>
          </cell>
        </row>
        <row r="1213">
          <cell r="A1213">
            <v>2</v>
          </cell>
          <cell r="C1213" t="str">
            <v>Lokasi pekerjaan : sepanjang jalan</v>
          </cell>
        </row>
        <row r="1214">
          <cell r="A1214">
            <v>3</v>
          </cell>
          <cell r="C1214" t="str">
            <v>Bahan dasar (batu, pasir dan semen) diterima</v>
          </cell>
        </row>
        <row r="1215">
          <cell r="C1215" t="str">
            <v>seluruhnya di lokasi pekerjaan</v>
          </cell>
        </row>
        <row r="1216">
          <cell r="A1216">
            <v>4</v>
          </cell>
          <cell r="C1216" t="str">
            <v>Jarak rata-rata Base camp ke lokasi pekerjaan</v>
          </cell>
          <cell r="G1216" t="str">
            <v>L</v>
          </cell>
          <cell r="H1216">
            <v>23.5</v>
          </cell>
          <cell r="I1216" t="str">
            <v>KM</v>
          </cell>
        </row>
        <row r="1217">
          <cell r="A1217">
            <v>5</v>
          </cell>
          <cell r="C1217" t="str">
            <v>Jam kerja efektif per-hari</v>
          </cell>
          <cell r="G1217" t="str">
            <v>Tk</v>
          </cell>
          <cell r="H1217">
            <v>7</v>
          </cell>
          <cell r="I1217" t="str">
            <v>jam</v>
          </cell>
        </row>
        <row r="1218">
          <cell r="A1218">
            <v>6</v>
          </cell>
          <cell r="C1218" t="str">
            <v>Adukan encer sebagai pengisi adalah beton K-175</v>
          </cell>
          <cell r="G1218" t="str">
            <v>-</v>
          </cell>
          <cell r="H1218" t="str">
            <v xml:space="preserve">-   </v>
          </cell>
          <cell r="I1218" t="str">
            <v>-</v>
          </cell>
          <cell r="J1218" t="str">
            <v xml:space="preserve"> Spec.</v>
          </cell>
        </row>
        <row r="1219">
          <cell r="A1219">
            <v>7</v>
          </cell>
          <cell r="C1219" t="str">
            <v>Kadar Semen Adukan (Spec.K-175)</v>
          </cell>
          <cell r="E1219" t="str">
            <v>: - Minimum</v>
          </cell>
          <cell r="G1219" t="str">
            <v>Ks1</v>
          </cell>
          <cell r="H1219">
            <v>220</v>
          </cell>
          <cell r="I1219" t="str">
            <v>Kg/M3</v>
          </cell>
          <cell r="J1219" t="str">
            <v xml:space="preserve"> Spec.</v>
          </cell>
        </row>
        <row r="1220">
          <cell r="E1220" t="str">
            <v>: - Maksimum</v>
          </cell>
          <cell r="G1220" t="str">
            <v>Ks2</v>
          </cell>
          <cell r="H1220">
            <v>300</v>
          </cell>
          <cell r="I1220" t="str">
            <v>Kg/M3</v>
          </cell>
          <cell r="J1220" t="str">
            <v xml:space="preserve"> Spec.</v>
          </cell>
        </row>
        <row r="1221">
          <cell r="A1221">
            <v>8</v>
          </cell>
          <cell r="C1221" t="str">
            <v>Perbandingan Air/Semen Maksimum (Spec.K-175)</v>
          </cell>
          <cell r="G1221" t="str">
            <v>Wcr</v>
          </cell>
          <cell r="H1221">
            <v>0.56999999999999995</v>
          </cell>
          <cell r="I1221" t="str">
            <v>-</v>
          </cell>
          <cell r="J1221" t="str">
            <v xml:space="preserve"> Spec.</v>
          </cell>
        </row>
        <row r="1222">
          <cell r="A1222">
            <v>9</v>
          </cell>
          <cell r="C1222" t="str">
            <v>Perbandingan Adukan (K-175)</v>
          </cell>
          <cell r="E1222" t="str">
            <v>:  Semen</v>
          </cell>
          <cell r="G1222" t="str">
            <v>Sm</v>
          </cell>
          <cell r="H1222">
            <v>12.5</v>
          </cell>
          <cell r="I1222" t="str">
            <v>%</v>
          </cell>
        </row>
        <row r="1223">
          <cell r="E1223" t="str">
            <v>:  Pasir</v>
          </cell>
          <cell r="G1223" t="str">
            <v>Ps</v>
          </cell>
          <cell r="H1223">
            <v>37.5</v>
          </cell>
          <cell r="I1223" t="str">
            <v>%</v>
          </cell>
        </row>
        <row r="1224">
          <cell r="E1224" t="str">
            <v>:  Kerikil</v>
          </cell>
          <cell r="G1224" t="str">
            <v>Kr</v>
          </cell>
          <cell r="H1224">
            <v>50</v>
          </cell>
          <cell r="I1224" t="str">
            <v>%</v>
          </cell>
        </row>
        <row r="1225">
          <cell r="A1225">
            <v>10</v>
          </cell>
          <cell r="C1225" t="str">
            <v>Berat Jenis Material :</v>
          </cell>
        </row>
        <row r="1226">
          <cell r="C1226" t="str">
            <v>-  Beton / Pasangan Batu Kosong Diisi Adukan</v>
          </cell>
          <cell r="G1226" t="str">
            <v>D1</v>
          </cell>
          <cell r="H1226">
            <v>2.4</v>
          </cell>
          <cell r="I1226" t="str">
            <v>T/M3</v>
          </cell>
        </row>
        <row r="1227">
          <cell r="C1227" t="str">
            <v>-  Semen</v>
          </cell>
          <cell r="G1227" t="str">
            <v>D2</v>
          </cell>
          <cell r="H1227">
            <v>1.44</v>
          </cell>
          <cell r="I1227" t="str">
            <v>T/M3</v>
          </cell>
        </row>
        <row r="1228">
          <cell r="C1228" t="str">
            <v>-  Pasir</v>
          </cell>
          <cell r="G1228" t="str">
            <v>D3</v>
          </cell>
          <cell r="H1228">
            <v>1.67</v>
          </cell>
          <cell r="I1228" t="str">
            <v>T/M3</v>
          </cell>
        </row>
        <row r="1229">
          <cell r="C1229" t="str">
            <v>-  Kerikil / Batu</v>
          </cell>
          <cell r="G1229" t="str">
            <v>D4</v>
          </cell>
          <cell r="H1229">
            <v>1.6</v>
          </cell>
          <cell r="I1229" t="str">
            <v>T/M3</v>
          </cell>
        </row>
        <row r="1230">
          <cell r="A1230">
            <v>11</v>
          </cell>
          <cell r="C1230" t="str">
            <v>Perbandingan Batu &amp; Adukan :</v>
          </cell>
          <cell r="E1230" t="str">
            <v>- Batu</v>
          </cell>
          <cell r="G1230" t="str">
            <v>Bt</v>
          </cell>
          <cell r="H1230">
            <v>70</v>
          </cell>
          <cell r="I1230" t="str">
            <v>%</v>
          </cell>
        </row>
        <row r="1231">
          <cell r="E1231" t="str">
            <v>- Adukan encer</v>
          </cell>
          <cell r="G1231" t="str">
            <v>Ae</v>
          </cell>
          <cell r="H1231">
            <v>30</v>
          </cell>
          <cell r="I1231" t="str">
            <v>%</v>
          </cell>
        </row>
        <row r="1233">
          <cell r="A1233" t="str">
            <v>II.</v>
          </cell>
          <cell r="C1233" t="str">
            <v>URUTAN KERJA</v>
          </cell>
        </row>
        <row r="1234">
          <cell r="A1234">
            <v>1</v>
          </cell>
          <cell r="C1234" t="str">
            <v>Semen, pasir, batu kerikil dan air dicampur dan diaduk</v>
          </cell>
        </row>
        <row r="1235">
          <cell r="C1235" t="str">
            <v>menjadi beton dengan menggunakan Concrete Mixer</v>
          </cell>
        </row>
        <row r="1236">
          <cell r="A1236">
            <v>2</v>
          </cell>
          <cell r="C1236" t="str">
            <v>Batu dipasang dan diisi dengan adukan encer</v>
          </cell>
        </row>
        <row r="1237">
          <cell r="A1237">
            <v>3</v>
          </cell>
          <cell r="C1237" t="str">
            <v>Penyelesaian dan perapihan setelah pemasangan</v>
          </cell>
        </row>
        <row r="1239">
          <cell r="A1239" t="str">
            <v>III.</v>
          </cell>
          <cell r="C1239" t="str">
            <v>PEMAKAIAN BAHAN, ALAT DAN TENAGA</v>
          </cell>
        </row>
        <row r="1241">
          <cell r="A1241" t="str">
            <v xml:space="preserve">   1.</v>
          </cell>
          <cell r="C1241" t="str">
            <v>BAHAN</v>
          </cell>
        </row>
        <row r="1242">
          <cell r="A1242" t="str">
            <v>1.a.</v>
          </cell>
          <cell r="C1242" t="str">
            <v>Semen (PC)</v>
          </cell>
          <cell r="D1242" t="str">
            <v>=   {Sm x D1 x Ae x 1000} : 40</v>
          </cell>
          <cell r="G1242" t="str">
            <v>(M12)</v>
          </cell>
          <cell r="H1242">
            <v>1.171875</v>
          </cell>
          <cell r="I1242" t="str">
            <v>Zak</v>
          </cell>
        </row>
        <row r="1243">
          <cell r="A1243" t="str">
            <v>1.b.</v>
          </cell>
          <cell r="C1243" t="str">
            <v>Pasir</v>
          </cell>
          <cell r="D1243" t="str">
            <v>=   {(Ps x D1) : D3} x Ae x 1.05</v>
          </cell>
          <cell r="G1243" t="str">
            <v>(M01)</v>
          </cell>
          <cell r="H1243">
            <v>8.8416916167664686E-2</v>
          </cell>
          <cell r="I1243" t="str">
            <v>M3</v>
          </cell>
        </row>
        <row r="1244">
          <cell r="A1244" t="str">
            <v>1.c.</v>
          </cell>
          <cell r="C1244" t="str">
            <v>Agregat Kasar</v>
          </cell>
          <cell r="D1244" t="str">
            <v>=   {(Kr x D1) : D4} x Ae x 1.1</v>
          </cell>
          <cell r="G1244" t="str">
            <v>(M03)</v>
          </cell>
          <cell r="H1244">
            <v>0.12890625</v>
          </cell>
          <cell r="I1244" t="str">
            <v>M3</v>
          </cell>
          <cell r="J1244" t="str">
            <v xml:space="preserve"> Agregat Kasar</v>
          </cell>
        </row>
        <row r="1245">
          <cell r="A1245" t="str">
            <v>1.d.</v>
          </cell>
          <cell r="C1245" t="str">
            <v>Batu Belah</v>
          </cell>
          <cell r="D1245" t="str">
            <v>=   {(Bt x D1) : D4 x 1.1</v>
          </cell>
          <cell r="G1245" t="str">
            <v>(M06)</v>
          </cell>
          <cell r="H1245">
            <v>1.155</v>
          </cell>
          <cell r="I1245" t="str">
            <v>M3</v>
          </cell>
        </row>
        <row r="1247">
          <cell r="A1247" t="str">
            <v>2.</v>
          </cell>
          <cell r="C1247" t="str">
            <v>ALAT</v>
          </cell>
        </row>
        <row r="1248">
          <cell r="A1248" t="str">
            <v>2.a.</v>
          </cell>
          <cell r="C1248" t="str">
            <v>CONCRETE MIXER</v>
          </cell>
          <cell r="G1248" t="str">
            <v>(E06)</v>
          </cell>
        </row>
        <row r="1249">
          <cell r="C1249" t="str">
            <v>Kapasitas Alat</v>
          </cell>
          <cell r="G1249" t="str">
            <v>V</v>
          </cell>
          <cell r="H1249">
            <v>500</v>
          </cell>
          <cell r="I1249" t="str">
            <v>liter</v>
          </cell>
        </row>
        <row r="1250">
          <cell r="C1250" t="str">
            <v>Faktor Efisiensi Alat</v>
          </cell>
          <cell r="G1250" t="str">
            <v>Fa</v>
          </cell>
          <cell r="H1250">
            <v>0.83</v>
          </cell>
          <cell r="I1250" t="str">
            <v>-</v>
          </cell>
        </row>
        <row r="1251">
          <cell r="C1251" t="str">
            <v>Waktu siklus   :</v>
          </cell>
          <cell r="D1251" t="str">
            <v>(T1 + T2 + T3 + T4)</v>
          </cell>
          <cell r="G1251" t="str">
            <v>Ts</v>
          </cell>
        </row>
        <row r="1252">
          <cell r="C1252" t="str">
            <v>-  Memuat</v>
          </cell>
          <cell r="G1252" t="str">
            <v>T1</v>
          </cell>
          <cell r="H1252">
            <v>5</v>
          </cell>
          <cell r="I1252" t="str">
            <v>menit</v>
          </cell>
        </row>
        <row r="1253">
          <cell r="C1253" t="str">
            <v>-  Mengaduk</v>
          </cell>
          <cell r="G1253" t="str">
            <v>T2</v>
          </cell>
          <cell r="H1253">
            <v>2</v>
          </cell>
          <cell r="I1253" t="str">
            <v>menit</v>
          </cell>
        </row>
        <row r="1254">
          <cell r="C1254" t="str">
            <v>-  Menuang</v>
          </cell>
          <cell r="G1254" t="str">
            <v>T3</v>
          </cell>
          <cell r="H1254">
            <v>3</v>
          </cell>
          <cell r="I1254" t="str">
            <v>menit</v>
          </cell>
        </row>
        <row r="1255">
          <cell r="C1255" t="str">
            <v>-  Tunggu, dll.</v>
          </cell>
          <cell r="G1255" t="str">
            <v>T4</v>
          </cell>
          <cell r="H1255">
            <v>2</v>
          </cell>
          <cell r="I1255" t="str">
            <v>menit</v>
          </cell>
        </row>
        <row r="1256">
          <cell r="G1256" t="str">
            <v>Ts</v>
          </cell>
          <cell r="H1256">
            <v>12</v>
          </cell>
          <cell r="I1256" t="str">
            <v>menit</v>
          </cell>
        </row>
        <row r="1258">
          <cell r="C1258" t="str">
            <v>Kap. Prod. / jam  =</v>
          </cell>
          <cell r="D1258" t="str">
            <v>V x Fa x 60</v>
          </cell>
          <cell r="G1258" t="str">
            <v>Q1</v>
          </cell>
          <cell r="H1258">
            <v>2.0750000000000002</v>
          </cell>
          <cell r="I1258" t="str">
            <v>M3</v>
          </cell>
        </row>
        <row r="1259">
          <cell r="D1259" t="str">
            <v>1000 x Ts</v>
          </cell>
        </row>
        <row r="1261">
          <cell r="C1261" t="str">
            <v>Koefisien Alat / M3</v>
          </cell>
          <cell r="D1261" t="str">
            <v xml:space="preserve">  =   1  :  Q1</v>
          </cell>
          <cell r="G1261" t="str">
            <v>(E06)</v>
          </cell>
          <cell r="H1261">
            <v>0.48192771084337344</v>
          </cell>
          <cell r="I1261" t="str">
            <v>jam</v>
          </cell>
        </row>
        <row r="1263">
          <cell r="J1263" t="str">
            <v>Berlanjut ke hal. berikut.</v>
          </cell>
        </row>
        <row r="1264">
          <cell r="A1264" t="str">
            <v>ITEM PEMBAYARAN NO.</v>
          </cell>
          <cell r="D1264" t="str">
            <v>:  7.10 (1)</v>
          </cell>
          <cell r="J1264" t="str">
            <v>Analisa EI-7101</v>
          </cell>
        </row>
        <row r="1265">
          <cell r="A1265" t="str">
            <v>JENIS PEKERJAAN</v>
          </cell>
          <cell r="D1265" t="str">
            <v>:  Pasangan Batu Kosong + Adukan</v>
          </cell>
        </row>
        <row r="1266">
          <cell r="A1266" t="str">
            <v>SATUAN PEMBAYARAN</v>
          </cell>
          <cell r="D1266" t="str">
            <v>:  M3</v>
          </cell>
          <cell r="H1266" t="str">
            <v xml:space="preserve">        URAIAN ANALISA HARGA SATUAN</v>
          </cell>
        </row>
        <row r="1267">
          <cell r="J1267" t="str">
            <v>Lanjutan</v>
          </cell>
        </row>
        <row r="1269">
          <cell r="A1269" t="str">
            <v>No.</v>
          </cell>
          <cell r="C1269" t="str">
            <v>U R A I A N</v>
          </cell>
          <cell r="G1269" t="str">
            <v>KODE</v>
          </cell>
          <cell r="H1269" t="str">
            <v>KOEF.</v>
          </cell>
          <cell r="I1269" t="str">
            <v>SATUAN</v>
          </cell>
          <cell r="J1269" t="str">
            <v>KETERANGAN</v>
          </cell>
        </row>
        <row r="1272">
          <cell r="A1272" t="str">
            <v>2.b.</v>
          </cell>
          <cell r="C1272" t="str">
            <v>WATER TANK TRUCK</v>
          </cell>
          <cell r="G1272" t="str">
            <v>(E23)</v>
          </cell>
        </row>
        <row r="1273">
          <cell r="C1273" t="str">
            <v>Volume Tanki Air</v>
          </cell>
          <cell r="G1273" t="str">
            <v>V</v>
          </cell>
          <cell r="H1273">
            <v>4</v>
          </cell>
          <cell r="I1273" t="str">
            <v>M3</v>
          </cell>
        </row>
        <row r="1274">
          <cell r="C1274" t="str">
            <v>Kebutuhan air untuk adukan</v>
          </cell>
          <cell r="G1274" t="str">
            <v>Wc</v>
          </cell>
          <cell r="H1274">
            <v>6.6796874999999994E-4</v>
          </cell>
          <cell r="I1274" t="str">
            <v>M3</v>
          </cell>
        </row>
        <row r="1275">
          <cell r="C1275" t="str">
            <v>Faktor Efiesiensi Alat</v>
          </cell>
          <cell r="G1275" t="str">
            <v>Fa</v>
          </cell>
          <cell r="H1275">
            <v>0.83</v>
          </cell>
          <cell r="I1275" t="str">
            <v>-</v>
          </cell>
        </row>
        <row r="1276">
          <cell r="C1276" t="str">
            <v>Pengisian Tanki / jam</v>
          </cell>
          <cell r="G1276" t="str">
            <v>n</v>
          </cell>
          <cell r="H1276">
            <v>2</v>
          </cell>
          <cell r="I1276" t="str">
            <v>kali</v>
          </cell>
        </row>
        <row r="1278">
          <cell r="C1278" t="str">
            <v>Kap. Prod. / jam  =</v>
          </cell>
          <cell r="D1278" t="str">
            <v>V x Fa x n</v>
          </cell>
          <cell r="G1278" t="str">
            <v>Q2</v>
          </cell>
          <cell r="H1278">
            <v>9940.584795321638</v>
          </cell>
          <cell r="I1278" t="str">
            <v>M3</v>
          </cell>
        </row>
        <row r="1279">
          <cell r="D1279" t="str">
            <v>Wc</v>
          </cell>
        </row>
        <row r="1281">
          <cell r="C1281" t="str">
            <v>Koefisien Alat / M3</v>
          </cell>
          <cell r="D1281" t="str">
            <v xml:space="preserve">  =   1  :  Q2</v>
          </cell>
          <cell r="G1281" t="str">
            <v>(E23)</v>
          </cell>
          <cell r="H1281">
            <v>1.00597703313253E-4</v>
          </cell>
          <cell r="I1281" t="str">
            <v>jam</v>
          </cell>
        </row>
        <row r="1283">
          <cell r="A1283" t="str">
            <v>2.c.</v>
          </cell>
          <cell r="C1283" t="str">
            <v>ALAT BANTU</v>
          </cell>
        </row>
        <row r="1284">
          <cell r="C1284" t="str">
            <v>Diperlukan  :</v>
          </cell>
        </row>
        <row r="1285">
          <cell r="C1285" t="str">
            <v>- Sekop</v>
          </cell>
          <cell r="D1285" t="str">
            <v>=  2  buah</v>
          </cell>
        </row>
        <row r="1286">
          <cell r="C1286" t="str">
            <v>- Sendok Semen</v>
          </cell>
          <cell r="D1286" t="str">
            <v>=  3  buah</v>
          </cell>
        </row>
        <row r="1287">
          <cell r="C1287" t="str">
            <v>- Ember Cor</v>
          </cell>
          <cell r="D1287" t="str">
            <v>=  4  buah</v>
          </cell>
        </row>
        <row r="1288">
          <cell r="C1288" t="str">
            <v>- Gerobak Dorong</v>
          </cell>
          <cell r="D1288" t="str">
            <v>=  1  buah</v>
          </cell>
        </row>
        <row r="1291">
          <cell r="A1291" t="str">
            <v>3.</v>
          </cell>
          <cell r="C1291" t="str">
            <v>TENAGA</v>
          </cell>
        </row>
        <row r="1292">
          <cell r="C1292" t="str">
            <v>Produksi Beton dalam 1 hari</v>
          </cell>
          <cell r="E1292" t="str">
            <v>=  Tk x Q1</v>
          </cell>
          <cell r="G1292" t="str">
            <v>Qt</v>
          </cell>
          <cell r="H1292">
            <v>14.525</v>
          </cell>
          <cell r="I1292" t="str">
            <v>M3</v>
          </cell>
        </row>
        <row r="1294">
          <cell r="C1294" t="str">
            <v>Kebutuhan tenaga :</v>
          </cell>
          <cell r="D1294" t="str">
            <v>- Mandor</v>
          </cell>
          <cell r="G1294" t="str">
            <v>M</v>
          </cell>
          <cell r="H1294">
            <v>1</v>
          </cell>
          <cell r="I1294" t="str">
            <v>orang</v>
          </cell>
        </row>
        <row r="1295">
          <cell r="D1295" t="str">
            <v>- Tukang</v>
          </cell>
          <cell r="G1295" t="str">
            <v>Tb</v>
          </cell>
          <cell r="H1295">
            <v>3</v>
          </cell>
          <cell r="I1295" t="str">
            <v>orang</v>
          </cell>
        </row>
        <row r="1296">
          <cell r="D1296" t="str">
            <v>- Pekerja</v>
          </cell>
          <cell r="G1296" t="str">
            <v>P</v>
          </cell>
          <cell r="H1296">
            <v>10</v>
          </cell>
          <cell r="I1296" t="str">
            <v>orang</v>
          </cell>
        </row>
        <row r="1298">
          <cell r="C1298" t="str">
            <v>Koefisien Tenaga / M3   :</v>
          </cell>
        </row>
        <row r="1299">
          <cell r="D1299" t="str">
            <v>-  Mandor</v>
          </cell>
          <cell r="E1299" t="str">
            <v>= (Tk x M) : Qt</v>
          </cell>
          <cell r="G1299" t="str">
            <v>(L03)</v>
          </cell>
          <cell r="H1299">
            <v>0.48192771084337344</v>
          </cell>
          <cell r="I1299" t="str">
            <v>jam</v>
          </cell>
        </row>
        <row r="1300">
          <cell r="D1300" t="str">
            <v>-  Tukang</v>
          </cell>
          <cell r="E1300" t="str">
            <v>= (Tk x Tb) : Qt</v>
          </cell>
          <cell r="G1300" t="str">
            <v>(L02)</v>
          </cell>
          <cell r="H1300">
            <v>1.4457831325301203</v>
          </cell>
          <cell r="I1300" t="str">
            <v>jam</v>
          </cell>
        </row>
        <row r="1301">
          <cell r="D1301" t="str">
            <v>-  Pekerja</v>
          </cell>
          <cell r="E1301" t="str">
            <v>= (Tk x P) : Qt</v>
          </cell>
          <cell r="G1301" t="str">
            <v>(L01)</v>
          </cell>
          <cell r="H1301">
            <v>4.8192771084337345</v>
          </cell>
          <cell r="I1301" t="str">
            <v>jam</v>
          </cell>
        </row>
        <row r="1304">
          <cell r="A1304" t="str">
            <v>4.</v>
          </cell>
          <cell r="C1304" t="str">
            <v>HARGA DASAR SATUAN UPAH, BAHAN DAN ALAT</v>
          </cell>
        </row>
        <row r="1305">
          <cell r="C1305" t="str">
            <v>Lihat lampiran.</v>
          </cell>
        </row>
        <row r="1307">
          <cell r="A1307" t="str">
            <v>5.</v>
          </cell>
          <cell r="C1307" t="str">
            <v>ANALISA HARGA SATUAN PEKERJAAN</v>
          </cell>
        </row>
        <row r="1308">
          <cell r="C1308" t="str">
            <v>Lihat perhitungan dalam LAMPIRAN 2 PENAWARAN</v>
          </cell>
        </row>
        <row r="1309">
          <cell r="C1309" t="str">
            <v>PEREKEMAN ANALISA MASING-MASING HARGA</v>
          </cell>
        </row>
        <row r="1310">
          <cell r="C1310" t="str">
            <v>SATUAN.</v>
          </cell>
        </row>
        <row r="1311">
          <cell r="C1311" t="str">
            <v>Didapat Harga Satuan Pekerjaan :</v>
          </cell>
        </row>
        <row r="1313">
          <cell r="C1313" t="str">
            <v xml:space="preserve">Rp.  </v>
          </cell>
          <cell r="D1313">
            <v>226081.4840142942</v>
          </cell>
          <cell r="E1313" t="str">
            <v xml:space="preserve"> / M3</v>
          </cell>
        </row>
        <row r="1316">
          <cell r="A1316" t="str">
            <v>6.</v>
          </cell>
          <cell r="C1316" t="str">
            <v>MASA PELAKSANAAN YANG DIPERLUKAN</v>
          </cell>
        </row>
        <row r="1317">
          <cell r="C1317" t="str">
            <v>Masa Pelaksanaan :</v>
          </cell>
          <cell r="D1317" t="str">
            <v>. . . . . . . . . . . .</v>
          </cell>
        </row>
        <row r="1319">
          <cell r="A1319" t="str">
            <v>7.</v>
          </cell>
          <cell r="C1319" t="str">
            <v>VOLUME PEKERJAAN YANG DIPERLUKAN</v>
          </cell>
        </row>
        <row r="1320">
          <cell r="C1320" t="str">
            <v>Volume pekerjaan  :</v>
          </cell>
          <cell r="D1320">
            <v>0</v>
          </cell>
          <cell r="E1320" t="str">
            <v>M3</v>
          </cell>
        </row>
        <row r="1323">
          <cell r="A1323" t="str">
            <v>ITEM PEMBAYARAN NO.</v>
          </cell>
          <cell r="D1323" t="str">
            <v>:  7.10 (2)</v>
          </cell>
          <cell r="J1323" t="str">
            <v>Analisa LI-7102</v>
          </cell>
        </row>
        <row r="1324">
          <cell r="A1324" t="str">
            <v>JENIS PEKERJAAN</v>
          </cell>
          <cell r="D1324" t="str">
            <v>:  Pasangan Batu Kosong</v>
          </cell>
        </row>
        <row r="1325">
          <cell r="A1325" t="str">
            <v>SATUAN PEMBAYARAN</v>
          </cell>
          <cell r="D1325" t="str">
            <v>:  M3</v>
          </cell>
          <cell r="H1325" t="str">
            <v xml:space="preserve">        URAIAN ANALISA HARGA SATUAN</v>
          </cell>
        </row>
        <row r="1328">
          <cell r="A1328" t="str">
            <v>No.</v>
          </cell>
          <cell r="C1328" t="str">
            <v>U R A I A N</v>
          </cell>
          <cell r="G1328" t="str">
            <v>KODE</v>
          </cell>
          <cell r="H1328" t="str">
            <v>KOEF.</v>
          </cell>
          <cell r="I1328" t="str">
            <v>SATUAN</v>
          </cell>
          <cell r="J1328" t="str">
            <v>KETERANGAN</v>
          </cell>
        </row>
        <row r="1331">
          <cell r="A1331" t="str">
            <v>I.</v>
          </cell>
          <cell r="C1331" t="str">
            <v>ASUMSI</v>
          </cell>
        </row>
        <row r="1332">
          <cell r="A1332">
            <v>1</v>
          </cell>
          <cell r="C1332" t="str">
            <v>Menggunakan cara manual</v>
          </cell>
        </row>
        <row r="1333">
          <cell r="A1333">
            <v>2</v>
          </cell>
          <cell r="C1333" t="str">
            <v>Lokasi pekerjaan : sepanjang jalan</v>
          </cell>
        </row>
        <row r="1334">
          <cell r="A1334">
            <v>3</v>
          </cell>
          <cell r="C1334" t="str">
            <v>Bahan dasar (batu dan pasir) diterima seluruhnya</v>
          </cell>
        </row>
        <row r="1335">
          <cell r="C1335" t="str">
            <v>di lokasi pekerjaan</v>
          </cell>
        </row>
        <row r="1336">
          <cell r="A1336">
            <v>4</v>
          </cell>
          <cell r="C1336" t="str">
            <v>Jarak rata-rata Base camp ke lokasi pekerjaan</v>
          </cell>
          <cell r="G1336" t="str">
            <v>L</v>
          </cell>
          <cell r="H1336">
            <v>23.5</v>
          </cell>
          <cell r="I1336" t="str">
            <v>KM</v>
          </cell>
        </row>
        <row r="1337">
          <cell r="A1337">
            <v>5</v>
          </cell>
          <cell r="C1337" t="str">
            <v>Jam kerja efektif per-hari</v>
          </cell>
          <cell r="G1337" t="str">
            <v>Tk</v>
          </cell>
          <cell r="H1337">
            <v>7</v>
          </cell>
          <cell r="I1337" t="str">
            <v>jam</v>
          </cell>
        </row>
        <row r="1338">
          <cell r="A1338">
            <v>6</v>
          </cell>
          <cell r="C1338" t="str">
            <v>Faktor kehilangan material</v>
          </cell>
          <cell r="G1338" t="str">
            <v>Fh</v>
          </cell>
          <cell r="H1338">
            <v>1.1000000000000001</v>
          </cell>
          <cell r="I1338" t="str">
            <v>-</v>
          </cell>
        </row>
        <row r="1340">
          <cell r="A1340" t="str">
            <v>II.</v>
          </cell>
          <cell r="C1340" t="str">
            <v>URUTAN KERJA</v>
          </cell>
        </row>
        <row r="1341">
          <cell r="A1341">
            <v>1</v>
          </cell>
          <cell r="C1341" t="str">
            <v>Batu disusun sedemikian rupa sehingga kokoh dan</v>
          </cell>
        </row>
        <row r="1342">
          <cell r="C1342" t="str">
            <v>saling mengunci satu sama lain</v>
          </cell>
        </row>
        <row r="1344">
          <cell r="A1344" t="str">
            <v>III.</v>
          </cell>
          <cell r="C1344" t="str">
            <v>PEMAKAIAN BAHAN, ALAT DAN TENAGA</v>
          </cell>
        </row>
        <row r="1346">
          <cell r="A1346" t="str">
            <v xml:space="preserve">   1.</v>
          </cell>
          <cell r="C1346" t="str">
            <v>BAHAN</v>
          </cell>
        </row>
        <row r="1347">
          <cell r="A1347" t="str">
            <v>1.a.</v>
          </cell>
          <cell r="C1347" t="str">
            <v>Batu Belah</v>
          </cell>
          <cell r="G1347" t="str">
            <v>(M06)</v>
          </cell>
          <cell r="H1347">
            <v>1.1000000000000001</v>
          </cell>
          <cell r="I1347" t="str">
            <v>M3</v>
          </cell>
        </row>
        <row r="1349">
          <cell r="A1349" t="str">
            <v>2.</v>
          </cell>
          <cell r="C1349" t="str">
            <v>ALAT</v>
          </cell>
        </row>
        <row r="1350">
          <cell r="A1350" t="str">
            <v>2.a.</v>
          </cell>
          <cell r="C1350" t="str">
            <v>ALAT BANTU</v>
          </cell>
        </row>
        <row r="1351">
          <cell r="C1351" t="str">
            <v>Diperlukan  :</v>
          </cell>
        </row>
        <row r="1352">
          <cell r="C1352" t="str">
            <v>- Gerobak Dorong</v>
          </cell>
          <cell r="D1352" t="str">
            <v>=  4  buah</v>
          </cell>
        </row>
        <row r="1353">
          <cell r="C1353" t="str">
            <v>- Palu Batu</v>
          </cell>
          <cell r="D1353" t="str">
            <v>=  2  buah</v>
          </cell>
        </row>
        <row r="1355">
          <cell r="A1355" t="str">
            <v>3.</v>
          </cell>
          <cell r="C1355" t="str">
            <v>TENAGA</v>
          </cell>
        </row>
        <row r="1356">
          <cell r="C1356" t="str">
            <v>Produksi pasangan batu kosong dalam 1 hari</v>
          </cell>
          <cell r="G1356" t="str">
            <v>Qt</v>
          </cell>
          <cell r="H1356">
            <v>8</v>
          </cell>
          <cell r="I1356" t="str">
            <v>M3</v>
          </cell>
        </row>
        <row r="1357">
          <cell r="C1357" t="str">
            <v>Kebutuhan tenaga :</v>
          </cell>
          <cell r="D1357" t="str">
            <v>- Mandor</v>
          </cell>
          <cell r="G1357" t="str">
            <v>M</v>
          </cell>
          <cell r="H1357">
            <v>1</v>
          </cell>
          <cell r="I1357" t="str">
            <v>orang</v>
          </cell>
        </row>
        <row r="1358">
          <cell r="D1358" t="str">
            <v>- Tukang</v>
          </cell>
          <cell r="G1358" t="str">
            <v>Tb</v>
          </cell>
          <cell r="H1358">
            <v>2</v>
          </cell>
          <cell r="I1358" t="str">
            <v>orang</v>
          </cell>
        </row>
        <row r="1359">
          <cell r="D1359" t="str">
            <v>- Pekerja</v>
          </cell>
          <cell r="G1359" t="str">
            <v>P</v>
          </cell>
          <cell r="H1359">
            <v>6</v>
          </cell>
          <cell r="I1359" t="str">
            <v>orang</v>
          </cell>
        </row>
        <row r="1360">
          <cell r="C1360" t="str">
            <v>Koefisien Tenaga / M3   :</v>
          </cell>
        </row>
        <row r="1361">
          <cell r="D1361" t="str">
            <v>-  Mandor</v>
          </cell>
          <cell r="E1361" t="str">
            <v>= (Tk x M) : Qt</v>
          </cell>
          <cell r="G1361" t="str">
            <v>(L03)</v>
          </cell>
          <cell r="H1361">
            <v>0.875</v>
          </cell>
          <cell r="I1361" t="str">
            <v>jam</v>
          </cell>
        </row>
        <row r="1362">
          <cell r="D1362" t="str">
            <v>-  Tukang</v>
          </cell>
          <cell r="E1362" t="str">
            <v>= (Tk x Tb) : Qt</v>
          </cell>
          <cell r="G1362" t="str">
            <v>(L02)</v>
          </cell>
          <cell r="H1362">
            <v>1.75</v>
          </cell>
          <cell r="I1362" t="str">
            <v>jam</v>
          </cell>
        </row>
        <row r="1363">
          <cell r="D1363" t="str">
            <v>-  Pekerja</v>
          </cell>
          <cell r="E1363" t="str">
            <v>= (Tk x P) : Qt</v>
          </cell>
          <cell r="G1363" t="str">
            <v>(L01)</v>
          </cell>
          <cell r="H1363">
            <v>5.25</v>
          </cell>
          <cell r="I1363" t="str">
            <v>jam</v>
          </cell>
        </row>
        <row r="1365">
          <cell r="A1365" t="str">
            <v>4.</v>
          </cell>
          <cell r="C1365" t="str">
            <v>HARGA DASAR SATUAN UPAH, BAHAN DAN ALAT</v>
          </cell>
        </row>
        <row r="1366">
          <cell r="C1366" t="str">
            <v>Lihat lampiran.</v>
          </cell>
        </row>
        <row r="1368">
          <cell r="A1368" t="str">
            <v>5.</v>
          </cell>
          <cell r="C1368" t="str">
            <v>ANALISA HARGA SATUAN PEKERJAAN</v>
          </cell>
        </row>
        <row r="1369">
          <cell r="C1369" t="str">
            <v>Lihat perhitungan dalam LAMPIRAN 2 PENAWARAN</v>
          </cell>
        </row>
        <row r="1370">
          <cell r="C1370" t="str">
            <v>PEREKEMAN ANALISA MASING-MASING HARGA</v>
          </cell>
        </row>
        <row r="1371">
          <cell r="C1371" t="str">
            <v>SATUAN.</v>
          </cell>
        </row>
        <row r="1372">
          <cell r="C1372" t="str">
            <v>Didapat Harga Satuan Pekerjaan :</v>
          </cell>
        </row>
        <row r="1374">
          <cell r="C1374" t="str">
            <v xml:space="preserve">Rp.  </v>
          </cell>
          <cell r="D1374">
            <v>145673</v>
          </cell>
          <cell r="E1374" t="str">
            <v xml:space="preserve"> / M3</v>
          </cell>
        </row>
        <row r="1377">
          <cell r="A1377" t="str">
            <v>6.</v>
          </cell>
          <cell r="C1377" t="str">
            <v>MASA PELAKSANAAN YANG DIPERLUKAN</v>
          </cell>
        </row>
        <row r="1378">
          <cell r="C1378" t="str">
            <v>Masa Pelaksanaan :</v>
          </cell>
          <cell r="D1378" t="str">
            <v>. . . . . . . . . . . .</v>
          </cell>
        </row>
        <row r="1380">
          <cell r="A1380" t="str">
            <v>7.</v>
          </cell>
          <cell r="C1380" t="str">
            <v>VOLUME PEKERJAAN YANG DIPERLUKAN</v>
          </cell>
        </row>
        <row r="1381">
          <cell r="C1381" t="str">
            <v>Volume pekerjaan  :</v>
          </cell>
          <cell r="D1381">
            <v>0</v>
          </cell>
          <cell r="E1381" t="str">
            <v>M3</v>
          </cell>
        </row>
        <row r="1384">
          <cell r="A1384" t="str">
            <v>ITEM PEMBAYARAN NO.</v>
          </cell>
          <cell r="D1384" t="str">
            <v>:  7.10 (3)</v>
          </cell>
          <cell r="J1384">
            <v>0</v>
          </cell>
        </row>
        <row r="1385">
          <cell r="A1385" t="str">
            <v>JENIS PEKERJAAN</v>
          </cell>
          <cell r="D1385" t="str">
            <v>:  Bronjong (Gabions)</v>
          </cell>
        </row>
        <row r="1386">
          <cell r="A1386" t="str">
            <v>SATUAN PEMBAYARAN</v>
          </cell>
          <cell r="D1386" t="str">
            <v>:  M3</v>
          </cell>
          <cell r="H1386" t="str">
            <v xml:space="preserve">        URAIAN ANALISA HARGA SATUAN</v>
          </cell>
        </row>
        <row r="1389">
          <cell r="A1389" t="str">
            <v>No.</v>
          </cell>
          <cell r="C1389" t="str">
            <v>U R A I A N</v>
          </cell>
          <cell r="G1389" t="str">
            <v>KODE</v>
          </cell>
          <cell r="H1389" t="str">
            <v>KOEF.</v>
          </cell>
          <cell r="I1389" t="str">
            <v>SATUAN</v>
          </cell>
          <cell r="J1389" t="str">
            <v>KETERANGAN</v>
          </cell>
        </row>
        <row r="1392">
          <cell r="A1392" t="str">
            <v>I.</v>
          </cell>
          <cell r="C1392" t="str">
            <v>ASUMSI</v>
          </cell>
        </row>
        <row r="1393">
          <cell r="A1393">
            <v>1</v>
          </cell>
          <cell r="C1393" t="str">
            <v>Pekerjaan dilakukan secara manual</v>
          </cell>
        </row>
        <row r="1394">
          <cell r="A1394">
            <v>2</v>
          </cell>
          <cell r="C1394" t="str">
            <v>Lokasi pekerjaan : sepanjang jalan</v>
          </cell>
        </row>
        <row r="1395">
          <cell r="A1395">
            <v>3</v>
          </cell>
          <cell r="C1395" t="str">
            <v>Bahan dasar (besi, anyaman kawat dan batu) diterima</v>
          </cell>
        </row>
        <row r="1396">
          <cell r="C1396" t="str">
            <v>seluruhnya di lokasi pekerjaan</v>
          </cell>
        </row>
        <row r="1397">
          <cell r="A1397">
            <v>4</v>
          </cell>
          <cell r="C1397" t="str">
            <v>Jarak rata-rata Base camp ke lokasi pekerjaan</v>
          </cell>
          <cell r="G1397" t="str">
            <v>L</v>
          </cell>
          <cell r="H1397">
            <v>23.5</v>
          </cell>
          <cell r="I1397" t="str">
            <v>KM</v>
          </cell>
        </row>
        <row r="1398">
          <cell r="A1398">
            <v>5</v>
          </cell>
          <cell r="C1398" t="str">
            <v>Jam kerja efektif per-hari</v>
          </cell>
          <cell r="G1398" t="str">
            <v>Tk</v>
          </cell>
          <cell r="H1398">
            <v>7</v>
          </cell>
          <cell r="I1398" t="str">
            <v>jam</v>
          </cell>
        </row>
        <row r="1399">
          <cell r="A1399">
            <v>6</v>
          </cell>
          <cell r="C1399" t="str">
            <v>Faktor Kehilangan Material</v>
          </cell>
          <cell r="G1399" t="str">
            <v>Fh</v>
          </cell>
          <cell r="H1399">
            <v>1.1000000000000001</v>
          </cell>
          <cell r="I1399" t="str">
            <v>-</v>
          </cell>
        </row>
        <row r="1401">
          <cell r="A1401" t="str">
            <v>II.</v>
          </cell>
          <cell r="C1401" t="str">
            <v>URUTAN KERJA</v>
          </cell>
        </row>
        <row r="1402">
          <cell r="A1402">
            <v>1</v>
          </cell>
          <cell r="C1402" t="str">
            <v>Keranjang kawat bronjong direntangkana dan dibentuk</v>
          </cell>
        </row>
        <row r="1403">
          <cell r="C1403" t="str">
            <v>sesuai dengan konstruksi yang diinginkan</v>
          </cell>
        </row>
        <row r="1404">
          <cell r="A1404">
            <v>2</v>
          </cell>
          <cell r="C1404" t="str">
            <v>Batu ditempatkan satu demi satu sehingga rongga</v>
          </cell>
        </row>
        <row r="1405">
          <cell r="C1405" t="str">
            <v>sesedikit mungkin</v>
          </cell>
        </row>
        <row r="1406">
          <cell r="A1406">
            <v>3</v>
          </cell>
          <cell r="C1406" t="str">
            <v>Anyaman kawat ditutup dan diikat</v>
          </cell>
        </row>
        <row r="1408">
          <cell r="A1408" t="str">
            <v>III.</v>
          </cell>
          <cell r="C1408" t="str">
            <v>PEMAKAIAN BAHAN, ALAT DAN TENAGA</v>
          </cell>
        </row>
        <row r="1410">
          <cell r="A1410" t="str">
            <v xml:space="preserve">   1.</v>
          </cell>
          <cell r="C1410" t="str">
            <v>BAHAN</v>
          </cell>
        </row>
        <row r="1411">
          <cell r="A1411" t="str">
            <v>1.a.</v>
          </cell>
          <cell r="C1411" t="str">
            <v>Kawat Bronjong</v>
          </cell>
          <cell r="G1411" t="str">
            <v>(M15)</v>
          </cell>
          <cell r="H1411">
            <v>15</v>
          </cell>
          <cell r="I1411" t="str">
            <v>Kg</v>
          </cell>
        </row>
        <row r="1412">
          <cell r="A1412" t="str">
            <v>1.b.</v>
          </cell>
          <cell r="C1412" t="str">
            <v>Batu</v>
          </cell>
          <cell r="G1412" t="str">
            <v>(M02)</v>
          </cell>
          <cell r="H1412">
            <v>1.1000000000000001</v>
          </cell>
          <cell r="I1412" t="str">
            <v>M3</v>
          </cell>
        </row>
        <row r="1414">
          <cell r="A1414" t="str">
            <v>2.</v>
          </cell>
          <cell r="C1414" t="str">
            <v>ALAT</v>
          </cell>
        </row>
        <row r="1415">
          <cell r="A1415" t="str">
            <v>2.a.</v>
          </cell>
          <cell r="C1415" t="str">
            <v>ALAT BANTU</v>
          </cell>
        </row>
        <row r="1416">
          <cell r="C1416" t="str">
            <v>Diperlukan  :</v>
          </cell>
        </row>
        <row r="1417">
          <cell r="C1417" t="str">
            <v>- Tang</v>
          </cell>
          <cell r="E1417" t="str">
            <v>=  2  buah</v>
          </cell>
        </row>
        <row r="1418">
          <cell r="C1418" t="str">
            <v>- Pemotong kawat</v>
          </cell>
          <cell r="E1418" t="str">
            <v>=  2  buah</v>
          </cell>
        </row>
        <row r="1419">
          <cell r="C1419" t="str">
            <v>- Palu pemecah batu</v>
          </cell>
          <cell r="E1419" t="str">
            <v>=  2  buah</v>
          </cell>
        </row>
        <row r="1421">
          <cell r="A1421" t="str">
            <v>3.</v>
          </cell>
          <cell r="C1421" t="str">
            <v>TENAGA</v>
          </cell>
        </row>
        <row r="1422">
          <cell r="C1422" t="str">
            <v>Produksi pekerjaan per hari</v>
          </cell>
          <cell r="G1422" t="str">
            <v>Qt</v>
          </cell>
          <cell r="H1422">
            <v>10</v>
          </cell>
          <cell r="I1422" t="str">
            <v>M2</v>
          </cell>
        </row>
        <row r="1423">
          <cell r="C1423" t="str">
            <v>dibutuhkan tenaga :</v>
          </cell>
          <cell r="D1423" t="str">
            <v>- Mandor</v>
          </cell>
          <cell r="G1423" t="str">
            <v>M</v>
          </cell>
          <cell r="H1423">
            <v>1</v>
          </cell>
          <cell r="I1423" t="str">
            <v>orang</v>
          </cell>
        </row>
        <row r="1424">
          <cell r="D1424" t="str">
            <v>- Tukang</v>
          </cell>
          <cell r="G1424" t="str">
            <v>Tb</v>
          </cell>
          <cell r="H1424">
            <v>3</v>
          </cell>
          <cell r="I1424" t="str">
            <v>orang</v>
          </cell>
        </row>
        <row r="1425">
          <cell r="D1425" t="str">
            <v>- Pekerja</v>
          </cell>
          <cell r="G1425" t="str">
            <v>P</v>
          </cell>
          <cell r="H1425">
            <v>6</v>
          </cell>
          <cell r="I1425" t="str">
            <v>orang</v>
          </cell>
        </row>
        <row r="1427">
          <cell r="C1427" t="str">
            <v>Koefisien Tenaga / Kg  :</v>
          </cell>
        </row>
        <row r="1428">
          <cell r="D1428" t="str">
            <v>-  Mandor</v>
          </cell>
          <cell r="E1428" t="str">
            <v>=  ( M x Tk ) : Qt</v>
          </cell>
          <cell r="G1428" t="str">
            <v>(L03)</v>
          </cell>
          <cell r="H1428">
            <v>0.7</v>
          </cell>
          <cell r="I1428" t="str">
            <v>jam</v>
          </cell>
        </row>
        <row r="1429">
          <cell r="D1429" t="str">
            <v>- Tukang</v>
          </cell>
          <cell r="E1429" t="str">
            <v>=  ( Tb x Tk ) : Qt</v>
          </cell>
          <cell r="G1429" t="str">
            <v>(L02)</v>
          </cell>
          <cell r="H1429">
            <v>2.1</v>
          </cell>
          <cell r="I1429" t="str">
            <v>jam</v>
          </cell>
        </row>
        <row r="1430">
          <cell r="D1430" t="str">
            <v>-  Pekerja</v>
          </cell>
          <cell r="E1430" t="str">
            <v>=  ( P x Tk ) : Qt</v>
          </cell>
          <cell r="G1430" t="str">
            <v>(L01)</v>
          </cell>
          <cell r="H1430">
            <v>4.2</v>
          </cell>
          <cell r="I1430" t="str">
            <v>jam</v>
          </cell>
        </row>
        <row r="1432">
          <cell r="A1432" t="str">
            <v>4.</v>
          </cell>
          <cell r="C1432" t="str">
            <v>HARGA DASAR SATUAN UPAH, BAHAN DAN ALAT</v>
          </cell>
        </row>
        <row r="1433">
          <cell r="C1433" t="str">
            <v>Lihat lampiran.</v>
          </cell>
        </row>
        <row r="1435">
          <cell r="A1435" t="str">
            <v>5.</v>
          </cell>
          <cell r="C1435" t="str">
            <v>ANALISA HARGA SATUAN PEKERJAAN</v>
          </cell>
        </row>
        <row r="1436">
          <cell r="C1436" t="str">
            <v>Lihat perhitungan dalam LAMPIRAN 2 PENAWARAN</v>
          </cell>
        </row>
        <row r="1437">
          <cell r="C1437" t="str">
            <v>PEREKEMAN ANALISA MASING-MASING HARGA</v>
          </cell>
        </row>
        <row r="1438">
          <cell r="C1438" t="str">
            <v>SATUAN.</v>
          </cell>
        </row>
        <row r="1439">
          <cell r="C1439" t="str">
            <v>Didapat Harga Satuan Pekerjaan :</v>
          </cell>
        </row>
        <row r="1441">
          <cell r="C1441" t="str">
            <v xml:space="preserve">Rp.  </v>
          </cell>
          <cell r="D1441">
            <v>311465</v>
          </cell>
          <cell r="E1441" t="str">
            <v xml:space="preserve"> / M3</v>
          </cell>
        </row>
        <row r="1444">
          <cell r="J1444" t="str">
            <v>Berlanjut ke hal. berikut.</v>
          </cell>
        </row>
        <row r="1445">
          <cell r="A1445" t="str">
            <v>ITEM PEMBAYARAN NO.</v>
          </cell>
          <cell r="D1445" t="str">
            <v>:  7.10 (3)</v>
          </cell>
          <cell r="J1445">
            <v>0</v>
          </cell>
        </row>
        <row r="1446">
          <cell r="A1446" t="str">
            <v>JENIS PEKERJAAN</v>
          </cell>
          <cell r="D1446" t="str">
            <v>:  Bronjong (Gabions)</v>
          </cell>
        </row>
        <row r="1447">
          <cell r="A1447" t="str">
            <v>SATUAN PEMBAYARAN</v>
          </cell>
          <cell r="D1447" t="str">
            <v>:  M3</v>
          </cell>
          <cell r="H1447" t="str">
            <v xml:space="preserve">        URAIAN ANALISA HARGA SATUAN</v>
          </cell>
        </row>
        <row r="1448">
          <cell r="J1448" t="str">
            <v>Lanjutan</v>
          </cell>
        </row>
        <row r="1450">
          <cell r="A1450" t="str">
            <v>No.</v>
          </cell>
          <cell r="C1450" t="str">
            <v>U R A I A N</v>
          </cell>
          <cell r="G1450" t="str">
            <v>KODE</v>
          </cell>
          <cell r="H1450" t="str">
            <v>KOEF.</v>
          </cell>
          <cell r="I1450" t="str">
            <v>SATUAN</v>
          </cell>
          <cell r="J1450" t="str">
            <v>KETERANGAN</v>
          </cell>
        </row>
        <row r="1453">
          <cell r="A1453" t="str">
            <v>6.</v>
          </cell>
          <cell r="C1453" t="str">
            <v>MASA PELAKSANAAN YANG DIPERLUKAN</v>
          </cell>
        </row>
        <row r="1454">
          <cell r="C1454" t="str">
            <v>Masa Pelaksanaan :</v>
          </cell>
          <cell r="D1454" t="str">
            <v>. . . . . . . . . . . .</v>
          </cell>
        </row>
        <row r="1456">
          <cell r="A1456" t="str">
            <v>7.</v>
          </cell>
          <cell r="C1456" t="str">
            <v>VOLUME PEKERJAAN YANG DIPERLUKAN</v>
          </cell>
        </row>
        <row r="1457">
          <cell r="C1457" t="str">
            <v>Volume pekerjaan  :</v>
          </cell>
          <cell r="D1457">
            <v>0</v>
          </cell>
          <cell r="E1457" t="str">
            <v>M3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ang Pancang Baja"/>
      <sheetName val="Pembongkaran"/>
      <sheetName val="Geotxtil"/>
      <sheetName val="Expantion Joint"/>
      <sheetName val="NP"/>
      <sheetName val="NP (2)"/>
      <sheetName val="diafrag"/>
      <sheetName val="Void Slab"/>
      <sheetName val="deck slab"/>
      <sheetName val="Additional"/>
      <sheetName val="Lean Concr"/>
      <sheetName val="Perletakan Strip"/>
      <sheetName val="Pembongkaran Jbt Lama"/>
      <sheetName val="Pemb Jbt Rangka Baja"/>
      <sheetName val="Pengadaan Jembatan Sementara"/>
      <sheetName val="Pengadaan Jembatan Aramco"/>
      <sheetName val="Tiang Pancang"/>
    </sheetNames>
    <sheetDataSet>
      <sheetData sheetId="0"/>
      <sheetData sheetId="1"/>
      <sheetData sheetId="2"/>
      <sheetData sheetId="3"/>
      <sheetData sheetId="4">
        <row r="183">
          <cell r="T183" t="str">
            <v>Analisa EI-713</v>
          </cell>
        </row>
        <row r="185">
          <cell r="L185" t="str">
            <v>FORMULIR STANDAR UNTUK</v>
          </cell>
        </row>
        <row r="186">
          <cell r="L186" t="str">
            <v>PEREKAMAN ANALISA MASING-MASING HARGA SATUAN</v>
          </cell>
        </row>
        <row r="187">
          <cell r="L187">
            <v>0</v>
          </cell>
        </row>
        <row r="188">
          <cell r="L188" t="str">
            <v>NAMA KEGIATAN</v>
          </cell>
          <cell r="O188" t="str">
            <v>:  ADB Earthquake and Tsunami Emergency Support (ETESP), Road and Bridge Component</v>
          </cell>
        </row>
        <row r="189">
          <cell r="L189" t="str">
            <v>NOMOR HIBAH</v>
          </cell>
          <cell r="O189" t="str">
            <v>:  ADB 0002 - INO</v>
          </cell>
        </row>
        <row r="190">
          <cell r="L190" t="str">
            <v>NAMA PAKET</v>
          </cell>
          <cell r="O190" t="str">
            <v>:  Package 3 Bridges on the ECR ( 9 bridges)</v>
          </cell>
        </row>
        <row r="191">
          <cell r="L191" t="str">
            <v>LOKASI PROYEK</v>
          </cell>
          <cell r="O191" t="str">
            <v>:  Aceh Besar / Pidie</v>
          </cell>
        </row>
        <row r="192">
          <cell r="L192" t="str">
            <v>PROVINSI</v>
          </cell>
          <cell r="O192" t="str">
            <v>:  Nanggroe Aceh Darussalam</v>
          </cell>
        </row>
        <row r="194">
          <cell r="L194" t="str">
            <v>ITEM PEMBAYARAN NO.</v>
          </cell>
          <cell r="O194" t="str">
            <v>:  7.1 (3)</v>
          </cell>
          <cell r="R194" t="str">
            <v>PERKIRAAN VOL. PEK.</v>
          </cell>
          <cell r="T194" t="str">
            <v>:</v>
          </cell>
          <cell r="U194">
            <v>461.7</v>
          </cell>
        </row>
        <row r="195">
          <cell r="L195" t="str">
            <v>JENIS PEKERJAAN</v>
          </cell>
          <cell r="O195" t="str">
            <v>:  Beton K-350</v>
          </cell>
          <cell r="R195" t="str">
            <v>TOTAL HARGA (Rp.)</v>
          </cell>
          <cell r="T195" t="str">
            <v>:</v>
          </cell>
          <cell r="U195">
            <v>515759991.30000001</v>
          </cell>
        </row>
        <row r="196">
          <cell r="L196" t="str">
            <v>SATUAN PEMBAYARAN</v>
          </cell>
          <cell r="O196" t="str">
            <v>:  M3</v>
          </cell>
          <cell r="R196" t="str">
            <v>% THD. BIAYA PROYEK</v>
          </cell>
          <cell r="T196" t="str">
            <v>:</v>
          </cell>
          <cell r="U196">
            <v>31.200487250148651</v>
          </cell>
        </row>
        <row r="199">
          <cell r="Q199" t="str">
            <v>PERKIRAAN</v>
          </cell>
          <cell r="R199" t="str">
            <v>HARGA</v>
          </cell>
          <cell r="S199" t="str">
            <v>JUMLAH</v>
          </cell>
        </row>
        <row r="200">
          <cell r="L200" t="str">
            <v>NO.</v>
          </cell>
          <cell r="N200" t="str">
            <v>KOMPONEN</v>
          </cell>
          <cell r="P200" t="str">
            <v>SATUAN</v>
          </cell>
          <cell r="Q200" t="str">
            <v>KUANTITAS</v>
          </cell>
          <cell r="R200" t="str">
            <v>SATUAN</v>
          </cell>
          <cell r="S200" t="str">
            <v>HARGA</v>
          </cell>
        </row>
        <row r="201">
          <cell r="R201" t="str">
            <v>(Rp.)</v>
          </cell>
          <cell r="S201" t="str">
            <v>(Rp.)</v>
          </cell>
        </row>
        <row r="204">
          <cell r="L204" t="str">
            <v>A.</v>
          </cell>
          <cell r="N204" t="str">
            <v>TENAGA</v>
          </cell>
        </row>
        <row r="206">
          <cell r="L206" t="str">
            <v>1.</v>
          </cell>
          <cell r="N206" t="str">
            <v>Pekerja</v>
          </cell>
          <cell r="O206" t="str">
            <v>(L01)</v>
          </cell>
          <cell r="P206" t="str">
            <v>jam</v>
          </cell>
          <cell r="Q206">
            <v>5.3012048192771086</v>
          </cell>
          <cell r="R206">
            <v>5817</v>
          </cell>
          <cell r="U206">
            <v>30837.108433734942</v>
          </cell>
        </row>
        <row r="207">
          <cell r="L207" t="str">
            <v>2.</v>
          </cell>
          <cell r="N207" t="str">
            <v>Tukang</v>
          </cell>
          <cell r="O207" t="str">
            <v>(L02)</v>
          </cell>
          <cell r="P207" t="str">
            <v>jam</v>
          </cell>
          <cell r="Q207">
            <v>1.7670682730923695</v>
          </cell>
          <cell r="R207">
            <v>9285</v>
          </cell>
          <cell r="U207">
            <v>16407.22891566265</v>
          </cell>
        </row>
        <row r="208">
          <cell r="L208" t="str">
            <v>3.</v>
          </cell>
          <cell r="N208" t="str">
            <v>Mandor</v>
          </cell>
          <cell r="O208" t="str">
            <v>(L03)</v>
          </cell>
          <cell r="P208" t="str">
            <v>jam</v>
          </cell>
          <cell r="Q208">
            <v>0.44176706827309237</v>
          </cell>
          <cell r="R208">
            <v>8357</v>
          </cell>
          <cell r="U208">
            <v>3691.8473895582329</v>
          </cell>
        </row>
        <row r="210">
          <cell r="Q210" t="str">
            <v xml:space="preserve">JUMLAH HARGA TENAGA   </v>
          </cell>
          <cell r="U210">
            <v>50936.184738955832</v>
          </cell>
        </row>
        <row r="212">
          <cell r="L212" t="str">
            <v>B.</v>
          </cell>
          <cell r="N212" t="str">
            <v>BAHAN</v>
          </cell>
        </row>
        <row r="214">
          <cell r="L214" t="str">
            <v>1.</v>
          </cell>
          <cell r="N214" t="str">
            <v>Semen</v>
          </cell>
          <cell r="O214" t="str">
            <v>(M12)</v>
          </cell>
          <cell r="P214" t="str">
            <v>Kg</v>
          </cell>
          <cell r="Q214">
            <v>421.41327623126341</v>
          </cell>
          <cell r="R214">
            <v>850</v>
          </cell>
          <cell r="U214">
            <v>358201.28479657392</v>
          </cell>
        </row>
        <row r="215">
          <cell r="L215" t="str">
            <v>2.</v>
          </cell>
          <cell r="N215" t="str">
            <v>Pasir</v>
          </cell>
          <cell r="O215" t="str">
            <v>(M01)</v>
          </cell>
          <cell r="P215" t="str">
            <v>M3</v>
          </cell>
          <cell r="Q215">
            <v>0.47738222698072796</v>
          </cell>
          <cell r="R215">
            <v>81750</v>
          </cell>
          <cell r="U215">
            <v>39025.99705567451</v>
          </cell>
        </row>
        <row r="216">
          <cell r="L216" t="str">
            <v>3.</v>
          </cell>
          <cell r="N216" t="str">
            <v>Agregat Kasar</v>
          </cell>
          <cell r="O216" t="str">
            <v>(M03)</v>
          </cell>
          <cell r="P216" t="str">
            <v>M3</v>
          </cell>
          <cell r="Q216">
            <v>0.70874051002530658</v>
          </cell>
          <cell r="R216">
            <v>146996.02665383945</v>
          </cell>
          <cell r="U216">
            <v>104182.03890233573</v>
          </cell>
        </row>
        <row r="217">
          <cell r="L217" t="str">
            <v>4.</v>
          </cell>
          <cell r="N217" t="str">
            <v>Kayu Perancah</v>
          </cell>
          <cell r="O217" t="str">
            <v>(M19)</v>
          </cell>
          <cell r="P217" t="str">
            <v>M3</v>
          </cell>
          <cell r="Q217">
            <v>0.15</v>
          </cell>
          <cell r="R217">
            <v>2250000</v>
          </cell>
          <cell r="U217">
            <v>337500</v>
          </cell>
        </row>
        <row r="218">
          <cell r="L218" t="str">
            <v>5.</v>
          </cell>
          <cell r="N218" t="str">
            <v>Paku</v>
          </cell>
          <cell r="O218" t="str">
            <v>(M18)</v>
          </cell>
          <cell r="P218" t="str">
            <v>Kg</v>
          </cell>
          <cell r="Q218">
            <v>1</v>
          </cell>
          <cell r="R218">
            <v>7500</v>
          </cell>
          <cell r="U218">
            <v>7500</v>
          </cell>
        </row>
        <row r="220">
          <cell r="Q220" t="str">
            <v xml:space="preserve">JUMLAH HARGA BAHAN   </v>
          </cell>
          <cell r="U220">
            <v>846409.32075458416</v>
          </cell>
        </row>
        <row r="222">
          <cell r="L222" t="str">
            <v>C.</v>
          </cell>
          <cell r="N222" t="str">
            <v>PERALATAN</v>
          </cell>
        </row>
        <row r="224">
          <cell r="L224" t="str">
            <v>1.</v>
          </cell>
          <cell r="N224" t="str">
            <v>Conc. Mixer</v>
          </cell>
          <cell r="O224" t="str">
            <v>(E06)</v>
          </cell>
          <cell r="P224" t="str">
            <v>jam</v>
          </cell>
          <cell r="Q224">
            <v>0.44176706827309237</v>
          </cell>
          <cell r="R224">
            <v>46833.52213114754</v>
          </cell>
          <cell r="U224">
            <v>20689.507768780037</v>
          </cell>
        </row>
        <row r="225">
          <cell r="L225" t="str">
            <v>2.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5.7119269368695345E-2</v>
          </cell>
          <cell r="R225">
            <v>153142.56981294346</v>
          </cell>
          <cell r="U225">
            <v>8747.3916969597503</v>
          </cell>
        </row>
        <row r="226">
          <cell r="L226" t="str">
            <v>3.</v>
          </cell>
          <cell r="N226" t="str">
            <v>Con. Vibrator</v>
          </cell>
          <cell r="O226" t="str">
            <v>(E20)</v>
          </cell>
          <cell r="P226" t="str">
            <v>jam</v>
          </cell>
          <cell r="Q226">
            <v>0.44176706827309237</v>
          </cell>
          <cell r="R226">
            <v>42481.32360655738</v>
          </cell>
          <cell r="U226">
            <v>18766.849786029365</v>
          </cell>
        </row>
        <row r="227">
          <cell r="L227" t="str">
            <v>4.</v>
          </cell>
          <cell r="N227" t="str">
            <v>Con, Pump</v>
          </cell>
          <cell r="O227" t="str">
            <v>(E28)</v>
          </cell>
          <cell r="P227" t="str">
            <v>jam</v>
          </cell>
          <cell r="Q227">
            <v>0.44176706827309237</v>
          </cell>
          <cell r="R227">
            <v>157065.89507266926</v>
          </cell>
          <cell r="U227">
            <v>69386.539991942234</v>
          </cell>
        </row>
        <row r="228">
          <cell r="L228" t="str">
            <v>5.</v>
          </cell>
          <cell r="N228" t="str">
            <v>Alat Bantu</v>
          </cell>
          <cell r="P228" t="str">
            <v>Ls</v>
          </cell>
          <cell r="Q228">
            <v>1</v>
          </cell>
          <cell r="R228">
            <v>600</v>
          </cell>
          <cell r="U228">
            <v>600</v>
          </cell>
        </row>
        <row r="232">
          <cell r="Q232" t="str">
            <v xml:space="preserve">JUMLAH HARGA PERALATAN   </v>
          </cell>
          <cell r="U232">
            <v>118190.28924371139</v>
          </cell>
        </row>
        <row r="234">
          <cell r="L234" t="str">
            <v>D.</v>
          </cell>
          <cell r="N234" t="str">
            <v>JUMLAH HARGA TENAGA, BAHAN DAN PERALATAN  ( A + B + C )</v>
          </cell>
          <cell r="U234">
            <v>1015535.7947372514</v>
          </cell>
        </row>
        <row r="235">
          <cell r="L235" t="str">
            <v>E.</v>
          </cell>
          <cell r="N235" t="str">
            <v>OVERHEAD &amp; PROFIT</v>
          </cell>
          <cell r="P235">
            <v>10</v>
          </cell>
          <cell r="Q235" t="str">
            <v>%  x  D</v>
          </cell>
          <cell r="U235">
            <v>101553.57947372514</v>
          </cell>
        </row>
        <row r="236">
          <cell r="L236" t="str">
            <v>F.</v>
          </cell>
          <cell r="N236" t="str">
            <v>HARGA SATUAN PEKERJAAN  ( D + E )</v>
          </cell>
          <cell r="U236">
            <v>1117089.3742109765</v>
          </cell>
        </row>
        <row r="237">
          <cell r="L237" t="str">
            <v>G.</v>
          </cell>
          <cell r="N237" t="str">
            <v>HARGA SATUAN DIBULATKAN</v>
          </cell>
          <cell r="U237">
            <v>1117089</v>
          </cell>
        </row>
        <row r="238">
          <cell r="L238" t="str">
            <v>Note: 1</v>
          </cell>
          <cell r="N238" t="str">
            <v>SATUAN dapat berdasarkan atas jam operasi untuk Tenaga Kerja dan Peralatan, volume dan/atau ukuran</v>
          </cell>
        </row>
        <row r="239">
          <cell r="N239" t="str">
            <v>berat untuk bahan-bahan.</v>
          </cell>
        </row>
        <row r="240">
          <cell r="L240">
            <v>2</v>
          </cell>
          <cell r="N240" t="str">
            <v>Kuantitas satuan adalah kuantitas setiap komponen untuk menyelesaikan satu satuan pekerjaan dari nomor</v>
          </cell>
        </row>
        <row r="241">
          <cell r="N241" t="str">
            <v>mata pembayaran.</v>
          </cell>
        </row>
        <row r="242">
          <cell r="L242">
            <v>3</v>
          </cell>
          <cell r="N242" t="str">
            <v>Biaya satuan untuk peralatan sudah termasuk bahan bakar, bahan habis dipakai dan operator.</v>
          </cell>
        </row>
        <row r="243">
          <cell r="L243">
            <v>4</v>
          </cell>
          <cell r="N243" t="str">
            <v>Biaya satuan sudah termasuk pengeluaran untuk seluruh pajak yang berkaitan (tetapi tidak termasuk PPN</v>
          </cell>
        </row>
        <row r="1322">
          <cell r="T1322" t="str">
            <v>Analisa EI-745</v>
          </cell>
        </row>
        <row r="1324">
          <cell r="L1324" t="str">
            <v>FORMULIR STANDAR UNTUK</v>
          </cell>
        </row>
        <row r="1325">
          <cell r="L1325" t="str">
            <v>PEREKAMAN ANALISA MASING-MASING HARGA SATUAN</v>
          </cell>
        </row>
        <row r="1326">
          <cell r="L1326">
            <v>0</v>
          </cell>
        </row>
        <row r="1328">
          <cell r="L1328" t="str">
            <v>NOMOR HIBAH</v>
          </cell>
          <cell r="O1328" t="str">
            <v>:  ADB 0002 - INO</v>
          </cell>
        </row>
        <row r="1329">
          <cell r="L1329" t="str">
            <v>NAMA PAKET</v>
          </cell>
          <cell r="O1329" t="e">
            <v>#REF!</v>
          </cell>
        </row>
        <row r="1330">
          <cell r="L1330" t="str">
            <v>LOKASI PROYEK</v>
          </cell>
          <cell r="O1330" t="e">
            <v>#REF!</v>
          </cell>
        </row>
        <row r="1331">
          <cell r="L1331" t="str">
            <v>PROVINSI</v>
          </cell>
          <cell r="O1331" t="e">
            <v>#REF!</v>
          </cell>
        </row>
        <row r="1332">
          <cell r="L1332">
            <v>0</v>
          </cell>
          <cell r="O1332" t="e">
            <v>#REF!</v>
          </cell>
        </row>
        <row r="1333">
          <cell r="L1333" t="str">
            <v>ITEM PEMBAYARAN NO.</v>
          </cell>
          <cell r="O1333" t="str">
            <v>:  7.5 (2)</v>
          </cell>
          <cell r="R1333" t="str">
            <v>PERKIRAAN VOL. PEK.</v>
          </cell>
          <cell r="T1333" t="str">
            <v>:</v>
          </cell>
          <cell r="U1333">
            <v>0</v>
          </cell>
        </row>
        <row r="1334">
          <cell r="L1334" t="str">
            <v>JENIS PEKERJAAN</v>
          </cell>
          <cell r="O1334" t="str">
            <v>:  Pengangkutan Material Jembatan</v>
          </cell>
          <cell r="R1334" t="str">
            <v>TOTAL HARGA (Rp.)</v>
          </cell>
          <cell r="T1334" t="str">
            <v>:</v>
          </cell>
          <cell r="U1334">
            <v>0</v>
          </cell>
        </row>
        <row r="1335">
          <cell r="L1335" t="str">
            <v>SATUAN PEMBAYARAN</v>
          </cell>
          <cell r="O1335" t="str">
            <v>:  KG</v>
          </cell>
          <cell r="R1335" t="str">
            <v>% THD. BIAYA PROYEK</v>
          </cell>
          <cell r="T1335" t="str">
            <v>:</v>
          </cell>
          <cell r="U1335">
            <v>0</v>
          </cell>
        </row>
        <row r="1338">
          <cell r="Q1338" t="str">
            <v>PERKIRAAN</v>
          </cell>
          <cell r="R1338" t="str">
            <v>HARGA</v>
          </cell>
          <cell r="S1338" t="str">
            <v>JUMLAH</v>
          </cell>
        </row>
        <row r="1339">
          <cell r="L1339" t="str">
            <v>NO.</v>
          </cell>
          <cell r="N1339" t="str">
            <v>KOMPONEN</v>
          </cell>
          <cell r="P1339" t="str">
            <v>SATUAN</v>
          </cell>
          <cell r="Q1339" t="str">
            <v>KUANTITAS</v>
          </cell>
          <cell r="R1339" t="str">
            <v>SATUAN</v>
          </cell>
          <cell r="S1339" t="str">
            <v>HARGA</v>
          </cell>
        </row>
        <row r="1340">
          <cell r="R1340" t="str">
            <v>(Rp.)</v>
          </cell>
          <cell r="S1340" t="str">
            <v>(Rp.)</v>
          </cell>
        </row>
        <row r="1343">
          <cell r="L1343" t="str">
            <v>A.</v>
          </cell>
          <cell r="N1343" t="str">
            <v>TENAGA</v>
          </cell>
        </row>
        <row r="1345">
          <cell r="L1345" t="str">
            <v>1.</v>
          </cell>
          <cell r="N1345" t="str">
            <v>Pekerja</v>
          </cell>
          <cell r="O1345" t="str">
            <v>(L01)</v>
          </cell>
          <cell r="P1345" t="str">
            <v>jam</v>
          </cell>
          <cell r="Q1345">
            <v>1.0000000000000001E-5</v>
          </cell>
          <cell r="R1345">
            <v>5817</v>
          </cell>
          <cell r="U1345">
            <v>5.8170000000000006E-2</v>
          </cell>
        </row>
        <row r="1346">
          <cell r="L1346" t="str">
            <v>3.</v>
          </cell>
          <cell r="N1346" t="str">
            <v>Mandor</v>
          </cell>
          <cell r="O1346" t="str">
            <v>(L03)</v>
          </cell>
          <cell r="P1346" t="str">
            <v>jam</v>
          </cell>
          <cell r="Q1346">
            <v>1.3386880856760375E-4</v>
          </cell>
          <cell r="R1346">
            <v>8357</v>
          </cell>
          <cell r="U1346">
            <v>1.1187416331994646</v>
          </cell>
        </row>
        <row r="1349">
          <cell r="Q1349" t="str">
            <v xml:space="preserve">JUMLAH HARGA TENAGA   </v>
          </cell>
          <cell r="U1349">
            <v>1.1769116331994647</v>
          </cell>
        </row>
        <row r="1351">
          <cell r="L1351" t="str">
            <v>B.</v>
          </cell>
          <cell r="N1351" t="str">
            <v>BAHAN</v>
          </cell>
        </row>
        <row r="1359">
          <cell r="Q1359" t="str">
            <v xml:space="preserve">JUMLAH HARGA BAHAN   </v>
          </cell>
          <cell r="U1359">
            <v>0</v>
          </cell>
        </row>
        <row r="1361">
          <cell r="L1361" t="str">
            <v>C.</v>
          </cell>
          <cell r="N1361" t="str">
            <v>PERALATAN</v>
          </cell>
        </row>
        <row r="1363">
          <cell r="L1363" t="str">
            <v>1.</v>
          </cell>
          <cell r="N1363" t="str">
            <v>Trailer, 15 ton</v>
          </cell>
          <cell r="O1363" t="str">
            <v>E35</v>
          </cell>
          <cell r="P1363" t="str">
            <v>jam</v>
          </cell>
          <cell r="Q1363">
            <v>1.6827309236947792E-3</v>
          </cell>
          <cell r="R1363">
            <v>234728.86853980148</v>
          </cell>
          <cell r="U1363">
            <v>394.98552577581052</v>
          </cell>
        </row>
        <row r="1364">
          <cell r="L1364" t="str">
            <v>2.</v>
          </cell>
          <cell r="N1364" t="str">
            <v>Crane</v>
          </cell>
          <cell r="O1364" t="str">
            <v>E31</v>
          </cell>
          <cell r="P1364" t="str">
            <v>jam</v>
          </cell>
          <cell r="Q1364">
            <v>1.3386880856760375E-4</v>
          </cell>
          <cell r="R1364">
            <v>345785.3356401663</v>
          </cell>
          <cell r="U1364">
            <v>46.289870902298034</v>
          </cell>
        </row>
        <row r="1365">
          <cell r="L1365" t="str">
            <v>3.</v>
          </cell>
          <cell r="N1365" t="str">
            <v>Alat Bantu</v>
          </cell>
          <cell r="P1365" t="str">
            <v>Ls</v>
          </cell>
          <cell r="Q1365">
            <v>1</v>
          </cell>
          <cell r="R1365">
            <v>100</v>
          </cell>
          <cell r="U1365">
            <v>100</v>
          </cell>
        </row>
        <row r="1366">
          <cell r="L1366" t="str">
            <v>4.</v>
          </cell>
          <cell r="N1366" t="str">
            <v>Angkutan Kapal Laut</v>
          </cell>
          <cell r="P1366" t="str">
            <v>millaut</v>
          </cell>
          <cell r="Q1366">
            <v>0</v>
          </cell>
          <cell r="R1366">
            <v>0</v>
          </cell>
          <cell r="U1366">
            <v>0</v>
          </cell>
        </row>
        <row r="1371">
          <cell r="Q1371" t="str">
            <v xml:space="preserve">JUMLAH HARGA PERALATAN   </v>
          </cell>
          <cell r="U1371">
            <v>541.27539667810856</v>
          </cell>
        </row>
        <row r="1373">
          <cell r="L1373" t="str">
            <v>D.</v>
          </cell>
          <cell r="N1373" t="str">
            <v>JUMLAH HARGA TENAGA, BAHAN DAN PERALATAN  ( A + B + C )</v>
          </cell>
          <cell r="U1373">
            <v>542.452308311308</v>
          </cell>
        </row>
        <row r="1374">
          <cell r="L1374" t="str">
            <v>E.</v>
          </cell>
          <cell r="N1374" t="str">
            <v>OVERHEAD &amp; PROFIT</v>
          </cell>
          <cell r="P1374">
            <v>10</v>
          </cell>
          <cell r="Q1374" t="str">
            <v>%  x  D</v>
          </cell>
          <cell r="U1374">
            <v>54.245230831130804</v>
          </cell>
        </row>
        <row r="1375">
          <cell r="L1375" t="str">
            <v>F.</v>
          </cell>
          <cell r="N1375" t="str">
            <v>HARGA SATUAN PEKERJAAN  ( D + E )</v>
          </cell>
          <cell r="U1375">
            <v>596</v>
          </cell>
        </row>
        <row r="1376">
          <cell r="L1376" t="str">
            <v>Note: 1</v>
          </cell>
          <cell r="N1376" t="str">
            <v>SATUAN dapat berdasarkan atas jam operasi untuk Tenaga Kerja dan Peralatan, volume dan/atau ukuran</v>
          </cell>
        </row>
        <row r="1377">
          <cell r="N1377" t="str">
            <v>berat untuk bahan-bahan.</v>
          </cell>
        </row>
        <row r="1378">
          <cell r="L1378">
            <v>2</v>
          </cell>
          <cell r="N1378" t="str">
            <v>Kuantitas satuan adalah kuantitas setiap komponen untuk menyelesaikan satu satuan pekerjaan dari nomor</v>
          </cell>
        </row>
        <row r="1379">
          <cell r="N1379" t="str">
            <v>mata pembayaran.</v>
          </cell>
        </row>
        <row r="1380">
          <cell r="L1380">
            <v>3</v>
          </cell>
          <cell r="N1380" t="str">
            <v>Biaya satuan untuk peralatan sudah termasuk bahan bakar, bahan habis dipakai dan operator.</v>
          </cell>
        </row>
        <row r="1381">
          <cell r="L1381">
            <v>4</v>
          </cell>
          <cell r="N1381" t="str">
            <v>Biaya satuan sudah termasuk pengeluaran untuk seluruh pajak yang berkaitan (tetapi tidak termasuk PPN</v>
          </cell>
        </row>
        <row r="1382">
          <cell r="N1382" t="str">
            <v>yang dibayar dari kontrak) dan biaya-biaya lainnya.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HARGA"/>
      <sheetName val="DAMIJA"/>
      <sheetName val="Bil"/>
      <sheetName val="Mobilisasi"/>
      <sheetName val="An. Alat"/>
      <sheetName val="NP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Peralatan"/>
      <sheetName val="kont anak1"/>
      <sheetName val="Upah Bahan_BOW"/>
      <sheetName val="COVER"/>
      <sheetName val="Daftar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Div I(mob)"/>
      <sheetName val="An__Alat"/>
      <sheetName val="SAT-DAS"/>
      <sheetName val="Upah, Bahan, Alat"/>
      <sheetName val="Form A"/>
      <sheetName val="H.Satuan"/>
      <sheetName val="Div2"/>
      <sheetName val="struktur tdk dipakai"/>
      <sheetName val="alat"/>
      <sheetName val="NP (2)"/>
      <sheetName val="jadwal"/>
      <sheetName val="DAFTAR BAHAN D UPAH"/>
      <sheetName val="Peralatan (2)"/>
      <sheetName val="UPAH-BAHAN-ALAT"/>
      <sheetName val="ANAL-"/>
      <sheetName val="KoefMixer"/>
      <sheetName val="pante riek"/>
      <sheetName val="Backup Gudang"/>
      <sheetName val="RAB FULL KACA"/>
      <sheetName val="RAB stengah bata"/>
      <sheetName val="ANALISA"/>
      <sheetName val="Upah &amp; Bahan"/>
      <sheetName val="HARGA SATUAN"/>
      <sheetName val="HARGA UPAH &amp; BAHAN."/>
      <sheetName val="BAG-2"/>
      <sheetName val="HRG.BAHAN"/>
      <sheetName val="Harsat"/>
      <sheetName val="Agregat Halus &amp; Kasar"/>
      <sheetName val="Analisa Quarry"/>
      <sheetName val="galian saluran"/>
      <sheetName val="Harga Bahan"/>
      <sheetName val="MAP-Prog"/>
      <sheetName val="HS-2"/>
      <sheetName val="CH"/>
      <sheetName val="BLANKO HIT."/>
      <sheetName val="UPAH"/>
      <sheetName val="TJ1Q47"/>
    </sheetNames>
    <sheetDataSet>
      <sheetData sheetId="0">
        <row r="16">
          <cell r="Z16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>
        <row r="15">
          <cell r="A15" t="str">
            <v>A</v>
          </cell>
        </row>
        <row r="16">
          <cell r="A16" t="str">
            <v>A</v>
          </cell>
        </row>
        <row r="17">
          <cell r="A17" t="str">
            <v>A</v>
          </cell>
        </row>
        <row r="18">
          <cell r="A18" t="str">
            <v>A</v>
          </cell>
        </row>
        <row r="19">
          <cell r="A19" t="str">
            <v>A</v>
          </cell>
        </row>
        <row r="20">
          <cell r="A20" t="str">
            <v>A</v>
          </cell>
        </row>
        <row r="21">
          <cell r="A21" t="str">
            <v>A</v>
          </cell>
        </row>
        <row r="22">
          <cell r="A22" t="str">
            <v>A</v>
          </cell>
        </row>
        <row r="24">
          <cell r="A24" t="str">
            <v>B</v>
          </cell>
        </row>
        <row r="25">
          <cell r="A25" t="str">
            <v>B</v>
          </cell>
        </row>
        <row r="26">
          <cell r="A26" t="str">
            <v>B</v>
          </cell>
        </row>
        <row r="27">
          <cell r="A27" t="str">
            <v>B</v>
          </cell>
        </row>
        <row r="28">
          <cell r="A28" t="str">
            <v>B</v>
          </cell>
        </row>
        <row r="29">
          <cell r="A29" t="str">
            <v>B</v>
          </cell>
        </row>
        <row r="30">
          <cell r="A30" t="str">
            <v>B</v>
          </cell>
        </row>
        <row r="31">
          <cell r="A31" t="str">
            <v>B</v>
          </cell>
        </row>
        <row r="32">
          <cell r="A32" t="str">
            <v>B</v>
          </cell>
        </row>
        <row r="33">
          <cell r="A33" t="str">
            <v>B</v>
          </cell>
        </row>
        <row r="34">
          <cell r="A34" t="str">
            <v>B</v>
          </cell>
        </row>
        <row r="35">
          <cell r="A35" t="str">
            <v>B</v>
          </cell>
        </row>
        <row r="36">
          <cell r="A36" t="str">
            <v>B</v>
          </cell>
        </row>
        <row r="37">
          <cell r="A37" t="str">
            <v>B</v>
          </cell>
        </row>
        <row r="38">
          <cell r="A38" t="str">
            <v>B</v>
          </cell>
        </row>
        <row r="39">
          <cell r="A39" t="str">
            <v>B</v>
          </cell>
        </row>
        <row r="40">
          <cell r="A40" t="str">
            <v>B</v>
          </cell>
        </row>
        <row r="41">
          <cell r="A41" t="str">
            <v>B</v>
          </cell>
        </row>
        <row r="42">
          <cell r="A42" t="str">
            <v>B</v>
          </cell>
        </row>
        <row r="43">
          <cell r="A43" t="str">
            <v>B</v>
          </cell>
        </row>
        <row r="44">
          <cell r="A44" t="str">
            <v>B</v>
          </cell>
        </row>
        <row r="45">
          <cell r="A45" t="str">
            <v>B</v>
          </cell>
        </row>
        <row r="46">
          <cell r="A46" t="str">
            <v>B</v>
          </cell>
        </row>
        <row r="47">
          <cell r="A47" t="str">
            <v>B</v>
          </cell>
        </row>
        <row r="48">
          <cell r="A48" t="str">
            <v>B</v>
          </cell>
        </row>
        <row r="49">
          <cell r="A49" t="str">
            <v>B</v>
          </cell>
        </row>
        <row r="50">
          <cell r="A50" t="str">
            <v>B</v>
          </cell>
        </row>
        <row r="51">
          <cell r="A51" t="str">
            <v>B</v>
          </cell>
        </row>
        <row r="52">
          <cell r="A52" t="str">
            <v>B</v>
          </cell>
        </row>
        <row r="53">
          <cell r="A53" t="str">
            <v>B</v>
          </cell>
        </row>
        <row r="55">
          <cell r="A55" t="str">
            <v>C</v>
          </cell>
        </row>
        <row r="56">
          <cell r="A56" t="str">
            <v>C</v>
          </cell>
        </row>
        <row r="57">
          <cell r="A57" t="str">
            <v>C</v>
          </cell>
        </row>
        <row r="58">
          <cell r="A58" t="str">
            <v>C</v>
          </cell>
        </row>
        <row r="59">
          <cell r="A59" t="str">
            <v>C</v>
          </cell>
        </row>
        <row r="60">
          <cell r="A60" t="str">
            <v>C</v>
          </cell>
        </row>
        <row r="61">
          <cell r="A61" t="str">
            <v>C</v>
          </cell>
        </row>
        <row r="62">
          <cell r="A62" t="str">
            <v>C</v>
          </cell>
        </row>
        <row r="63">
          <cell r="A63" t="str">
            <v>C</v>
          </cell>
        </row>
        <row r="64">
          <cell r="A64" t="str">
            <v>C</v>
          </cell>
        </row>
        <row r="65">
          <cell r="A65" t="str">
            <v>C</v>
          </cell>
        </row>
        <row r="66">
          <cell r="A66" t="str">
            <v>C</v>
          </cell>
        </row>
        <row r="67">
          <cell r="A67" t="str">
            <v>C</v>
          </cell>
        </row>
        <row r="68">
          <cell r="A68" t="str">
            <v>C</v>
          </cell>
        </row>
        <row r="69">
          <cell r="A69" t="str">
            <v>C</v>
          </cell>
        </row>
        <row r="70">
          <cell r="A70" t="str">
            <v>C</v>
          </cell>
        </row>
        <row r="71">
          <cell r="A71" t="str">
            <v>C</v>
          </cell>
        </row>
        <row r="72">
          <cell r="A72" t="str">
            <v>C</v>
          </cell>
        </row>
        <row r="73">
          <cell r="A73" t="str">
            <v>C</v>
          </cell>
        </row>
        <row r="74">
          <cell r="A74" t="str">
            <v>C</v>
          </cell>
        </row>
        <row r="75">
          <cell r="A75" t="str">
            <v>C</v>
          </cell>
        </row>
        <row r="76">
          <cell r="A76" t="str">
            <v>C</v>
          </cell>
        </row>
        <row r="77">
          <cell r="A77" t="str">
            <v>C</v>
          </cell>
        </row>
        <row r="78">
          <cell r="A78" t="str">
            <v>C</v>
          </cell>
        </row>
        <row r="79">
          <cell r="A79" t="str">
            <v>C</v>
          </cell>
        </row>
        <row r="80">
          <cell r="A80" t="str">
            <v>C</v>
          </cell>
        </row>
        <row r="81">
          <cell r="A81" t="str">
            <v>C</v>
          </cell>
        </row>
        <row r="82">
          <cell r="A82" t="str">
            <v>C</v>
          </cell>
        </row>
        <row r="83">
          <cell r="A83" t="str">
            <v>C</v>
          </cell>
        </row>
        <row r="84">
          <cell r="A84" t="str">
            <v>C</v>
          </cell>
        </row>
        <row r="85">
          <cell r="A85" t="str">
            <v>C</v>
          </cell>
        </row>
        <row r="86">
          <cell r="A86" t="str">
            <v>C</v>
          </cell>
        </row>
        <row r="88">
          <cell r="A88" t="str">
            <v>D</v>
          </cell>
        </row>
        <row r="89">
          <cell r="A89" t="str">
            <v>D</v>
          </cell>
        </row>
        <row r="90">
          <cell r="A90" t="str">
            <v>D</v>
          </cell>
        </row>
        <row r="91">
          <cell r="A91" t="str">
            <v>D</v>
          </cell>
        </row>
        <row r="92">
          <cell r="A92" t="str">
            <v>D</v>
          </cell>
        </row>
        <row r="93">
          <cell r="A93" t="str">
            <v>D</v>
          </cell>
        </row>
        <row r="94">
          <cell r="A94" t="str">
            <v>D</v>
          </cell>
        </row>
        <row r="95">
          <cell r="A95" t="str">
            <v>D</v>
          </cell>
        </row>
        <row r="96">
          <cell r="A96" t="str">
            <v>D</v>
          </cell>
        </row>
        <row r="97">
          <cell r="A97" t="str">
            <v>D</v>
          </cell>
        </row>
        <row r="98">
          <cell r="A98" t="str">
            <v>D</v>
          </cell>
        </row>
        <row r="99">
          <cell r="A99" t="str">
            <v>D</v>
          </cell>
        </row>
        <row r="100">
          <cell r="A100" t="str">
            <v>D</v>
          </cell>
        </row>
        <row r="101">
          <cell r="A101" t="str">
            <v>D</v>
          </cell>
        </row>
        <row r="102">
          <cell r="A102" t="str">
            <v>D</v>
          </cell>
        </row>
        <row r="103">
          <cell r="A103" t="str">
            <v>D</v>
          </cell>
        </row>
        <row r="104">
          <cell r="A104" t="str">
            <v>D</v>
          </cell>
        </row>
        <row r="105">
          <cell r="A105" t="str">
            <v>D</v>
          </cell>
        </row>
        <row r="106">
          <cell r="A106" t="str">
            <v>D</v>
          </cell>
        </row>
        <row r="107">
          <cell r="A107" t="str">
            <v>D</v>
          </cell>
        </row>
        <row r="108">
          <cell r="A108" t="str">
            <v>D</v>
          </cell>
        </row>
        <row r="109">
          <cell r="A109" t="str">
            <v>D</v>
          </cell>
        </row>
        <row r="110">
          <cell r="A110" t="str">
            <v>D</v>
          </cell>
        </row>
        <row r="111">
          <cell r="A111" t="str">
            <v>D</v>
          </cell>
        </row>
        <row r="112">
          <cell r="A112" t="str">
            <v>D</v>
          </cell>
        </row>
        <row r="113">
          <cell r="A113" t="str">
            <v>D</v>
          </cell>
        </row>
        <row r="114">
          <cell r="A114" t="str">
            <v>D</v>
          </cell>
        </row>
        <row r="115">
          <cell r="A115" t="str">
            <v>D</v>
          </cell>
        </row>
        <row r="116">
          <cell r="A116" t="str">
            <v>D</v>
          </cell>
        </row>
        <row r="117">
          <cell r="A117" t="str">
            <v>D</v>
          </cell>
        </row>
        <row r="118">
          <cell r="A118" t="str">
            <v>D</v>
          </cell>
        </row>
        <row r="119">
          <cell r="A119" t="str">
            <v>D</v>
          </cell>
        </row>
        <row r="120">
          <cell r="A120" t="str">
            <v>D</v>
          </cell>
        </row>
        <row r="121">
          <cell r="A121" t="str">
            <v>D</v>
          </cell>
        </row>
        <row r="122">
          <cell r="A122" t="str">
            <v>D</v>
          </cell>
        </row>
        <row r="123">
          <cell r="A123" t="str">
            <v>D</v>
          </cell>
        </row>
        <row r="124">
          <cell r="A124" t="str">
            <v>D</v>
          </cell>
        </row>
        <row r="125">
          <cell r="A125" t="str">
            <v>D</v>
          </cell>
        </row>
        <row r="126">
          <cell r="A126" t="str">
            <v>D</v>
          </cell>
        </row>
        <row r="127">
          <cell r="A127" t="str">
            <v>D</v>
          </cell>
        </row>
        <row r="128">
          <cell r="A128" t="str">
            <v>D</v>
          </cell>
        </row>
        <row r="129">
          <cell r="A129" t="str">
            <v>E</v>
          </cell>
        </row>
        <row r="130">
          <cell r="A130" t="str">
            <v>E</v>
          </cell>
        </row>
        <row r="131">
          <cell r="A131" t="str">
            <v>E</v>
          </cell>
        </row>
        <row r="132">
          <cell r="A132" t="str">
            <v>E</v>
          </cell>
        </row>
        <row r="133">
          <cell r="A133" t="str">
            <v>E</v>
          </cell>
        </row>
        <row r="134">
          <cell r="A134" t="str">
            <v>E</v>
          </cell>
        </row>
        <row r="135">
          <cell r="A135" t="str">
            <v>E</v>
          </cell>
        </row>
        <row r="136">
          <cell r="A136" t="str">
            <v>E</v>
          </cell>
        </row>
        <row r="137">
          <cell r="A137" t="str">
            <v>E</v>
          </cell>
        </row>
        <row r="138">
          <cell r="A138" t="str">
            <v>E</v>
          </cell>
        </row>
        <row r="139">
          <cell r="A139" t="str">
            <v>E</v>
          </cell>
        </row>
        <row r="140">
          <cell r="A140" t="str">
            <v>E</v>
          </cell>
        </row>
        <row r="141">
          <cell r="A141" t="str">
            <v>E</v>
          </cell>
        </row>
        <row r="142">
          <cell r="A142" t="str">
            <v>E</v>
          </cell>
        </row>
        <row r="143">
          <cell r="A143" t="str">
            <v>E</v>
          </cell>
        </row>
        <row r="144">
          <cell r="A144" t="str">
            <v>E</v>
          </cell>
        </row>
        <row r="145">
          <cell r="A145" t="str">
            <v>E</v>
          </cell>
        </row>
        <row r="146">
          <cell r="A146" t="str">
            <v>E</v>
          </cell>
        </row>
        <row r="147">
          <cell r="A147" t="str">
            <v>E</v>
          </cell>
        </row>
        <row r="148">
          <cell r="A148" t="str">
            <v>E</v>
          </cell>
        </row>
        <row r="149">
          <cell r="A149" t="str">
            <v>E</v>
          </cell>
        </row>
        <row r="150">
          <cell r="A150" t="str">
            <v>E</v>
          </cell>
        </row>
        <row r="151">
          <cell r="A151" t="str">
            <v>E</v>
          </cell>
        </row>
        <row r="152">
          <cell r="A152" t="str">
            <v>E</v>
          </cell>
        </row>
        <row r="153">
          <cell r="A153" t="str">
            <v>E</v>
          </cell>
        </row>
        <row r="154">
          <cell r="A154" t="str">
            <v>E</v>
          </cell>
        </row>
        <row r="155">
          <cell r="A155" t="str">
            <v>E</v>
          </cell>
        </row>
        <row r="156">
          <cell r="A156" t="str">
            <v>E</v>
          </cell>
        </row>
        <row r="157">
          <cell r="A157" t="str">
            <v>E</v>
          </cell>
        </row>
        <row r="158">
          <cell r="A158" t="str">
            <v>E</v>
          </cell>
        </row>
        <row r="159">
          <cell r="A159" t="str">
            <v>E</v>
          </cell>
        </row>
        <row r="160">
          <cell r="A160" t="str">
            <v>E</v>
          </cell>
        </row>
        <row r="161">
          <cell r="A161" t="str">
            <v>E</v>
          </cell>
        </row>
        <row r="162">
          <cell r="A162" t="str">
            <v>E</v>
          </cell>
        </row>
        <row r="163">
          <cell r="A163" t="str">
            <v>E</v>
          </cell>
        </row>
        <row r="164">
          <cell r="A164" t="str">
            <v>E</v>
          </cell>
        </row>
        <row r="165">
          <cell r="A165" t="str">
            <v>E</v>
          </cell>
        </row>
        <row r="166">
          <cell r="A166" t="str">
            <v>E</v>
          </cell>
        </row>
        <row r="167">
          <cell r="A167" t="str">
            <v>E</v>
          </cell>
        </row>
        <row r="168">
          <cell r="A168" t="str">
            <v>E</v>
          </cell>
        </row>
        <row r="169">
          <cell r="A169" t="str">
            <v>E</v>
          </cell>
        </row>
        <row r="170">
          <cell r="A170" t="str">
            <v>E</v>
          </cell>
        </row>
        <row r="171">
          <cell r="A171" t="str">
            <v>E</v>
          </cell>
        </row>
        <row r="172">
          <cell r="A172" t="str">
            <v>E</v>
          </cell>
        </row>
        <row r="173">
          <cell r="A173" t="str">
            <v>E</v>
          </cell>
        </row>
        <row r="174">
          <cell r="A174" t="str">
            <v>E</v>
          </cell>
        </row>
        <row r="175">
          <cell r="A175" t="str">
            <v>E</v>
          </cell>
        </row>
        <row r="176">
          <cell r="A176" t="str">
            <v>E</v>
          </cell>
        </row>
        <row r="177">
          <cell r="A177" t="str">
            <v>E</v>
          </cell>
        </row>
        <row r="178">
          <cell r="A178" t="str">
            <v>E</v>
          </cell>
        </row>
        <row r="179">
          <cell r="A179" t="str">
            <v>E</v>
          </cell>
        </row>
        <row r="180">
          <cell r="A180" t="str">
            <v>E</v>
          </cell>
        </row>
        <row r="181">
          <cell r="A181" t="str">
            <v>E</v>
          </cell>
        </row>
        <row r="182">
          <cell r="A182" t="str">
            <v>E</v>
          </cell>
        </row>
        <row r="183">
          <cell r="A183" t="str">
            <v>E</v>
          </cell>
        </row>
        <row r="184">
          <cell r="A184" t="str">
            <v>E</v>
          </cell>
        </row>
        <row r="185">
          <cell r="A185" t="str">
            <v>E</v>
          </cell>
        </row>
        <row r="186">
          <cell r="A186" t="str">
            <v>E</v>
          </cell>
        </row>
        <row r="188">
          <cell r="A188" t="str">
            <v>F</v>
          </cell>
        </row>
        <row r="189">
          <cell r="A189" t="str">
            <v>F</v>
          </cell>
        </row>
        <row r="190">
          <cell r="A190" t="str">
            <v>F</v>
          </cell>
        </row>
        <row r="191">
          <cell r="A191" t="str">
            <v>F</v>
          </cell>
        </row>
        <row r="192">
          <cell r="A192" t="str">
            <v>F</v>
          </cell>
        </row>
        <row r="193">
          <cell r="A193" t="str">
            <v>F</v>
          </cell>
        </row>
        <row r="194">
          <cell r="A194" t="str">
            <v>F</v>
          </cell>
        </row>
        <row r="195">
          <cell r="A195" t="str">
            <v>F</v>
          </cell>
        </row>
        <row r="196">
          <cell r="A196" t="str">
            <v>F</v>
          </cell>
        </row>
        <row r="197">
          <cell r="A197" t="str">
            <v>F</v>
          </cell>
        </row>
        <row r="198">
          <cell r="A198" t="str">
            <v>F</v>
          </cell>
        </row>
        <row r="199">
          <cell r="A199" t="str">
            <v>F</v>
          </cell>
        </row>
        <row r="200">
          <cell r="A200" t="str">
            <v>F</v>
          </cell>
        </row>
        <row r="201">
          <cell r="A201" t="str">
            <v>F</v>
          </cell>
        </row>
        <row r="202">
          <cell r="A202" t="str">
            <v>F</v>
          </cell>
        </row>
        <row r="203">
          <cell r="A203" t="str">
            <v>F</v>
          </cell>
        </row>
        <row r="204">
          <cell r="A204" t="str">
            <v>F</v>
          </cell>
        </row>
        <row r="205">
          <cell r="A205" t="str">
            <v>F</v>
          </cell>
        </row>
        <row r="206">
          <cell r="A206" t="str">
            <v>F</v>
          </cell>
        </row>
        <row r="207">
          <cell r="A207" t="str">
            <v>F</v>
          </cell>
        </row>
        <row r="208">
          <cell r="A208" t="str">
            <v>F</v>
          </cell>
        </row>
        <row r="209">
          <cell r="A209" t="str">
            <v>F</v>
          </cell>
        </row>
        <row r="210">
          <cell r="A210" t="str">
            <v>F</v>
          </cell>
        </row>
        <row r="211">
          <cell r="A211" t="str">
            <v>F</v>
          </cell>
        </row>
        <row r="212">
          <cell r="A212" t="str">
            <v>F</v>
          </cell>
        </row>
        <row r="213">
          <cell r="A213" t="str">
            <v>F</v>
          </cell>
        </row>
        <row r="214">
          <cell r="A214" t="str">
            <v>F</v>
          </cell>
        </row>
        <row r="215">
          <cell r="A215" t="str">
            <v>F</v>
          </cell>
        </row>
        <row r="216">
          <cell r="A216" t="str">
            <v>F</v>
          </cell>
        </row>
        <row r="217">
          <cell r="A217" t="str">
            <v>F</v>
          </cell>
        </row>
        <row r="218">
          <cell r="A218" t="str">
            <v>F</v>
          </cell>
        </row>
        <row r="219">
          <cell r="A219" t="str">
            <v>F</v>
          </cell>
        </row>
        <row r="220">
          <cell r="A220" t="str">
            <v>F</v>
          </cell>
        </row>
        <row r="221">
          <cell r="A221" t="str">
            <v>F</v>
          </cell>
        </row>
        <row r="222">
          <cell r="A222" t="str">
            <v>F</v>
          </cell>
        </row>
        <row r="223">
          <cell r="A223" t="str">
            <v>F</v>
          </cell>
        </row>
        <row r="224">
          <cell r="A224" t="str">
            <v>F</v>
          </cell>
        </row>
        <row r="225">
          <cell r="A225" t="str">
            <v>F</v>
          </cell>
        </row>
        <row r="226">
          <cell r="A226" t="str">
            <v>F</v>
          </cell>
        </row>
        <row r="227">
          <cell r="A227" t="str">
            <v>F</v>
          </cell>
        </row>
        <row r="228">
          <cell r="A228" t="str">
            <v>F</v>
          </cell>
        </row>
        <row r="229">
          <cell r="A229" t="str">
            <v>F</v>
          </cell>
        </row>
        <row r="230">
          <cell r="A230" t="str">
            <v>F</v>
          </cell>
        </row>
        <row r="231">
          <cell r="A231" t="str">
            <v>F</v>
          </cell>
        </row>
        <row r="232">
          <cell r="A232" t="str">
            <v>F</v>
          </cell>
        </row>
        <row r="233">
          <cell r="A233" t="str">
            <v>F</v>
          </cell>
        </row>
        <row r="234">
          <cell r="A234" t="str">
            <v>F</v>
          </cell>
        </row>
        <row r="235">
          <cell r="A235" t="str">
            <v>F</v>
          </cell>
        </row>
        <row r="236">
          <cell r="A236" t="str">
            <v>F</v>
          </cell>
        </row>
        <row r="237">
          <cell r="A237" t="str">
            <v>F</v>
          </cell>
        </row>
        <row r="238">
          <cell r="A238" t="str">
            <v>F</v>
          </cell>
        </row>
        <row r="239">
          <cell r="A239" t="str">
            <v>F</v>
          </cell>
        </row>
        <row r="240">
          <cell r="A240" t="str">
            <v>F</v>
          </cell>
        </row>
        <row r="241">
          <cell r="A241" t="str">
            <v>F</v>
          </cell>
        </row>
        <row r="242">
          <cell r="A242" t="str">
            <v>F</v>
          </cell>
        </row>
        <row r="243">
          <cell r="A243" t="str">
            <v>F</v>
          </cell>
        </row>
        <row r="244">
          <cell r="A244" t="str">
            <v>F</v>
          </cell>
        </row>
        <row r="245">
          <cell r="A245" t="str">
            <v>F</v>
          </cell>
        </row>
        <row r="246">
          <cell r="A246" t="str">
            <v>F</v>
          </cell>
        </row>
        <row r="247">
          <cell r="A247" t="str">
            <v>F</v>
          </cell>
        </row>
        <row r="248">
          <cell r="A248" t="str">
            <v>F</v>
          </cell>
        </row>
        <row r="249">
          <cell r="A249" t="str">
            <v>F</v>
          </cell>
        </row>
        <row r="250">
          <cell r="A250" t="str">
            <v>F</v>
          </cell>
        </row>
        <row r="251">
          <cell r="A251" t="str">
            <v>F</v>
          </cell>
        </row>
        <row r="252">
          <cell r="A252" t="str">
            <v>F</v>
          </cell>
        </row>
        <row r="253">
          <cell r="A253" t="str">
            <v>F</v>
          </cell>
        </row>
        <row r="254">
          <cell r="A254" t="str">
            <v>F</v>
          </cell>
        </row>
        <row r="255">
          <cell r="A255" t="str">
            <v>F</v>
          </cell>
        </row>
        <row r="256">
          <cell r="A256" t="str">
            <v>F</v>
          </cell>
        </row>
        <row r="257">
          <cell r="A257" t="str">
            <v>F</v>
          </cell>
        </row>
        <row r="258">
          <cell r="A258" t="str">
            <v>F</v>
          </cell>
        </row>
        <row r="259">
          <cell r="A259" t="str">
            <v>F</v>
          </cell>
        </row>
        <row r="260">
          <cell r="A260" t="str">
            <v>F</v>
          </cell>
        </row>
        <row r="261">
          <cell r="A261" t="str">
            <v>F</v>
          </cell>
        </row>
        <row r="262">
          <cell r="A262" t="str">
            <v>F</v>
          </cell>
        </row>
        <row r="263">
          <cell r="A263" t="str">
            <v>F</v>
          </cell>
        </row>
        <row r="264">
          <cell r="A264" t="str">
            <v>F</v>
          </cell>
        </row>
        <row r="265">
          <cell r="A265" t="str">
            <v>F</v>
          </cell>
        </row>
        <row r="266">
          <cell r="A266" t="str">
            <v>F</v>
          </cell>
        </row>
        <row r="270">
          <cell r="A270" t="str">
            <v>H</v>
          </cell>
        </row>
        <row r="271">
          <cell r="A271" t="str">
            <v>H</v>
          </cell>
        </row>
        <row r="272">
          <cell r="A272" t="str">
            <v>H</v>
          </cell>
        </row>
        <row r="273">
          <cell r="A273" t="str">
            <v>H</v>
          </cell>
        </row>
        <row r="274">
          <cell r="A274" t="str">
            <v>H</v>
          </cell>
        </row>
        <row r="275">
          <cell r="A275" t="str">
            <v>H</v>
          </cell>
        </row>
        <row r="276">
          <cell r="A276" t="str">
            <v>H</v>
          </cell>
        </row>
        <row r="277">
          <cell r="A277" t="str">
            <v>H</v>
          </cell>
        </row>
        <row r="278">
          <cell r="A278" t="str">
            <v>H</v>
          </cell>
        </row>
        <row r="279">
          <cell r="A279" t="str">
            <v>H</v>
          </cell>
        </row>
        <row r="280">
          <cell r="A280" t="str">
            <v>H</v>
          </cell>
        </row>
        <row r="281">
          <cell r="A281" t="str">
            <v>H</v>
          </cell>
        </row>
        <row r="282">
          <cell r="A282" t="str">
            <v>H</v>
          </cell>
        </row>
        <row r="283">
          <cell r="A283" t="str">
            <v>H</v>
          </cell>
        </row>
        <row r="284">
          <cell r="A284" t="str">
            <v>H</v>
          </cell>
        </row>
        <row r="285">
          <cell r="A285" t="str">
            <v>H</v>
          </cell>
        </row>
        <row r="286">
          <cell r="A286" t="str">
            <v>H</v>
          </cell>
        </row>
        <row r="287">
          <cell r="A287" t="str">
            <v>H</v>
          </cell>
        </row>
        <row r="288">
          <cell r="A288" t="str">
            <v>H</v>
          </cell>
        </row>
        <row r="289">
          <cell r="A289" t="str">
            <v>H</v>
          </cell>
        </row>
        <row r="290">
          <cell r="A290" t="str">
            <v>H</v>
          </cell>
        </row>
        <row r="291">
          <cell r="A291" t="str">
            <v>H</v>
          </cell>
        </row>
        <row r="292">
          <cell r="A292" t="str">
            <v>H</v>
          </cell>
        </row>
        <row r="293">
          <cell r="A293" t="str">
            <v>H</v>
          </cell>
        </row>
        <row r="294">
          <cell r="A294" t="str">
            <v>H</v>
          </cell>
        </row>
        <row r="295">
          <cell r="A295" t="str">
            <v>H</v>
          </cell>
        </row>
        <row r="296">
          <cell r="A296" t="str">
            <v>H</v>
          </cell>
        </row>
        <row r="297">
          <cell r="A297" t="str">
            <v>H</v>
          </cell>
        </row>
        <row r="298">
          <cell r="A298" t="str">
            <v>H</v>
          </cell>
        </row>
        <row r="299">
          <cell r="A299" t="str">
            <v>H</v>
          </cell>
        </row>
        <row r="300">
          <cell r="A300" t="str">
            <v>H</v>
          </cell>
        </row>
        <row r="301">
          <cell r="A301" t="str">
            <v>H</v>
          </cell>
        </row>
        <row r="302">
          <cell r="A302" t="str">
            <v>H</v>
          </cell>
        </row>
        <row r="303">
          <cell r="A303" t="str">
            <v>H</v>
          </cell>
        </row>
        <row r="304">
          <cell r="A304" t="str">
            <v>H</v>
          </cell>
        </row>
        <row r="305">
          <cell r="A305" t="str">
            <v>H</v>
          </cell>
        </row>
        <row r="306">
          <cell r="A306" t="str">
            <v>H</v>
          </cell>
        </row>
        <row r="307">
          <cell r="A307" t="str">
            <v>H</v>
          </cell>
        </row>
        <row r="308">
          <cell r="A308" t="str">
            <v>H</v>
          </cell>
        </row>
        <row r="309">
          <cell r="A309" t="str">
            <v>H</v>
          </cell>
        </row>
        <row r="310">
          <cell r="A310" t="str">
            <v>H</v>
          </cell>
        </row>
        <row r="311">
          <cell r="A311" t="str">
            <v>H</v>
          </cell>
        </row>
        <row r="312">
          <cell r="A312" t="str">
            <v>H</v>
          </cell>
        </row>
        <row r="313">
          <cell r="A313" t="str">
            <v>H</v>
          </cell>
        </row>
        <row r="314">
          <cell r="A314" t="str">
            <v>H</v>
          </cell>
        </row>
        <row r="315">
          <cell r="A315" t="str">
            <v>H</v>
          </cell>
        </row>
        <row r="316">
          <cell r="A316" t="str">
            <v>H</v>
          </cell>
        </row>
        <row r="317">
          <cell r="A317" t="str">
            <v>H</v>
          </cell>
        </row>
        <row r="318">
          <cell r="A318" t="str">
            <v>H</v>
          </cell>
        </row>
        <row r="319">
          <cell r="A319" t="str">
            <v>H</v>
          </cell>
        </row>
        <row r="320">
          <cell r="A320" t="str">
            <v>H</v>
          </cell>
        </row>
        <row r="321">
          <cell r="A321" t="str">
            <v>H</v>
          </cell>
        </row>
        <row r="322">
          <cell r="A322" t="str">
            <v>H</v>
          </cell>
        </row>
        <row r="323">
          <cell r="A323" t="str">
            <v>H</v>
          </cell>
        </row>
        <row r="324">
          <cell r="A324" t="str">
            <v>H</v>
          </cell>
        </row>
        <row r="325">
          <cell r="A325" t="str">
            <v>H</v>
          </cell>
        </row>
        <row r="326">
          <cell r="A326" t="str">
            <v>H</v>
          </cell>
        </row>
        <row r="327">
          <cell r="A327" t="str">
            <v>H</v>
          </cell>
        </row>
        <row r="328">
          <cell r="A328" t="str">
            <v>H</v>
          </cell>
        </row>
        <row r="329">
          <cell r="A329" t="str">
            <v>H</v>
          </cell>
        </row>
        <row r="330">
          <cell r="A330" t="str">
            <v>H</v>
          </cell>
        </row>
        <row r="331">
          <cell r="A331" t="str">
            <v>H</v>
          </cell>
        </row>
        <row r="332">
          <cell r="A332" t="str">
            <v>H</v>
          </cell>
        </row>
        <row r="333">
          <cell r="A333" t="str">
            <v>H</v>
          </cell>
        </row>
        <row r="334">
          <cell r="A334" t="str">
            <v>H</v>
          </cell>
        </row>
        <row r="335">
          <cell r="A335" t="str">
            <v>H</v>
          </cell>
        </row>
        <row r="336">
          <cell r="A336" t="str">
            <v>H</v>
          </cell>
        </row>
        <row r="337">
          <cell r="A337" t="str">
            <v>H</v>
          </cell>
        </row>
        <row r="338">
          <cell r="A338" t="str">
            <v>H</v>
          </cell>
        </row>
        <row r="339">
          <cell r="A339" t="str">
            <v>H</v>
          </cell>
        </row>
        <row r="340">
          <cell r="A340" t="str">
            <v>H</v>
          </cell>
        </row>
        <row r="341">
          <cell r="A341" t="str">
            <v>H</v>
          </cell>
        </row>
        <row r="342">
          <cell r="A342" t="str">
            <v>H</v>
          </cell>
        </row>
        <row r="343">
          <cell r="A343" t="str">
            <v>H</v>
          </cell>
        </row>
        <row r="344">
          <cell r="A344" t="str">
            <v>H</v>
          </cell>
        </row>
        <row r="345">
          <cell r="A345" t="str">
            <v>H</v>
          </cell>
        </row>
        <row r="346">
          <cell r="A346" t="str">
            <v>H</v>
          </cell>
        </row>
        <row r="347">
          <cell r="A347" t="str">
            <v>H</v>
          </cell>
        </row>
        <row r="348">
          <cell r="A348" t="str">
            <v>H</v>
          </cell>
        </row>
        <row r="349">
          <cell r="A349" t="str">
            <v>H</v>
          </cell>
        </row>
        <row r="350">
          <cell r="A350" t="str">
            <v>H</v>
          </cell>
        </row>
        <row r="351">
          <cell r="A351" t="str">
            <v>H</v>
          </cell>
        </row>
        <row r="352">
          <cell r="A352" t="str">
            <v>H</v>
          </cell>
        </row>
        <row r="353">
          <cell r="A353" t="str">
            <v>H</v>
          </cell>
        </row>
        <row r="354">
          <cell r="A354" t="str">
            <v>H</v>
          </cell>
        </row>
        <row r="355">
          <cell r="A355" t="str">
            <v>H</v>
          </cell>
        </row>
        <row r="356">
          <cell r="A356" t="str">
            <v>H</v>
          </cell>
        </row>
        <row r="357">
          <cell r="A357" t="str">
            <v>H</v>
          </cell>
        </row>
        <row r="358">
          <cell r="A358" t="str">
            <v>H</v>
          </cell>
        </row>
        <row r="359">
          <cell r="A359" t="str">
            <v>H</v>
          </cell>
        </row>
        <row r="360">
          <cell r="A360" t="str">
            <v>H</v>
          </cell>
        </row>
        <row r="361">
          <cell r="A361" t="str">
            <v>H</v>
          </cell>
        </row>
        <row r="362">
          <cell r="A362" t="str">
            <v>H</v>
          </cell>
        </row>
        <row r="363">
          <cell r="A363" t="str">
            <v>H</v>
          </cell>
        </row>
        <row r="364">
          <cell r="A364" t="str">
            <v>H</v>
          </cell>
        </row>
        <row r="365">
          <cell r="A365" t="str">
            <v>H</v>
          </cell>
        </row>
        <row r="366">
          <cell r="A366" t="str">
            <v>H</v>
          </cell>
        </row>
        <row r="367">
          <cell r="A367" t="str">
            <v>H</v>
          </cell>
        </row>
        <row r="368">
          <cell r="A368" t="str">
            <v>H</v>
          </cell>
        </row>
        <row r="369">
          <cell r="A369" t="str">
            <v>H</v>
          </cell>
        </row>
        <row r="370">
          <cell r="A370" t="str">
            <v>H</v>
          </cell>
        </row>
        <row r="371">
          <cell r="A371" t="str">
            <v>H</v>
          </cell>
        </row>
        <row r="372">
          <cell r="A372" t="str">
            <v>H</v>
          </cell>
        </row>
        <row r="373">
          <cell r="A373" t="str">
            <v>H</v>
          </cell>
        </row>
        <row r="374">
          <cell r="A374" t="str">
            <v>H</v>
          </cell>
        </row>
        <row r="375">
          <cell r="A375" t="str">
            <v>H</v>
          </cell>
        </row>
        <row r="376">
          <cell r="A376" t="str">
            <v>H</v>
          </cell>
        </row>
        <row r="377">
          <cell r="A377" t="str">
            <v>H</v>
          </cell>
        </row>
        <row r="378">
          <cell r="A378" t="str">
            <v>H</v>
          </cell>
        </row>
        <row r="379">
          <cell r="A379" t="str">
            <v>H</v>
          </cell>
        </row>
        <row r="380">
          <cell r="A380" t="str">
            <v>H</v>
          </cell>
        </row>
        <row r="381">
          <cell r="A381" t="str">
            <v>H</v>
          </cell>
        </row>
        <row r="382">
          <cell r="A382" t="str">
            <v>H</v>
          </cell>
        </row>
        <row r="383">
          <cell r="A383" t="str">
            <v>H</v>
          </cell>
        </row>
        <row r="384">
          <cell r="A384" t="str">
            <v>H</v>
          </cell>
        </row>
        <row r="385">
          <cell r="A385" t="str">
            <v>H</v>
          </cell>
        </row>
        <row r="386">
          <cell r="A386" t="str">
            <v>H</v>
          </cell>
        </row>
        <row r="387">
          <cell r="A387" t="str">
            <v>H</v>
          </cell>
        </row>
        <row r="388">
          <cell r="A388" t="str">
            <v>H</v>
          </cell>
        </row>
        <row r="389">
          <cell r="A389" t="str">
            <v>H</v>
          </cell>
        </row>
        <row r="390">
          <cell r="A390" t="str">
            <v>H</v>
          </cell>
        </row>
        <row r="391">
          <cell r="A391" t="str">
            <v>H</v>
          </cell>
        </row>
        <row r="392">
          <cell r="A392" t="str">
            <v>H</v>
          </cell>
        </row>
        <row r="393">
          <cell r="A393" t="str">
            <v>H</v>
          </cell>
        </row>
        <row r="394">
          <cell r="A394" t="str">
            <v>H</v>
          </cell>
        </row>
        <row r="395">
          <cell r="A395" t="str">
            <v>H</v>
          </cell>
        </row>
        <row r="396">
          <cell r="A396" t="str">
            <v>H</v>
          </cell>
        </row>
        <row r="397">
          <cell r="A397" t="str">
            <v>H</v>
          </cell>
        </row>
        <row r="398">
          <cell r="A398" t="str">
            <v>H</v>
          </cell>
        </row>
        <row r="399">
          <cell r="A399" t="str">
            <v>H</v>
          </cell>
        </row>
        <row r="400">
          <cell r="A400" t="str">
            <v>H</v>
          </cell>
        </row>
        <row r="401">
          <cell r="A401" t="str">
            <v>H</v>
          </cell>
        </row>
        <row r="402">
          <cell r="A402" t="str">
            <v>H</v>
          </cell>
        </row>
        <row r="403">
          <cell r="A403" t="str">
            <v>H</v>
          </cell>
        </row>
        <row r="404">
          <cell r="A404" t="str">
            <v>H</v>
          </cell>
        </row>
        <row r="405">
          <cell r="A405" t="str">
            <v>H</v>
          </cell>
        </row>
        <row r="406">
          <cell r="A406" t="str">
            <v>H</v>
          </cell>
        </row>
        <row r="407">
          <cell r="A407" t="str">
            <v>H</v>
          </cell>
        </row>
        <row r="408">
          <cell r="A408" t="str">
            <v>H</v>
          </cell>
        </row>
        <row r="409">
          <cell r="A409" t="str">
            <v>H</v>
          </cell>
        </row>
        <row r="410">
          <cell r="A410" t="str">
            <v>H</v>
          </cell>
        </row>
        <row r="411">
          <cell r="A411" t="str">
            <v>H</v>
          </cell>
        </row>
        <row r="412">
          <cell r="A412" t="str">
            <v>H</v>
          </cell>
        </row>
        <row r="413">
          <cell r="A413" t="str">
            <v>H</v>
          </cell>
        </row>
        <row r="414">
          <cell r="A414" t="str">
            <v>H</v>
          </cell>
        </row>
        <row r="415">
          <cell r="A415" t="str">
            <v>H</v>
          </cell>
        </row>
        <row r="416">
          <cell r="A416" t="str">
            <v>H</v>
          </cell>
        </row>
        <row r="417">
          <cell r="A417" t="str">
            <v>H</v>
          </cell>
        </row>
        <row r="418">
          <cell r="A418" t="str">
            <v>H</v>
          </cell>
        </row>
        <row r="419">
          <cell r="A419" t="str">
            <v>H</v>
          </cell>
        </row>
        <row r="420">
          <cell r="A420" t="str">
            <v>H</v>
          </cell>
        </row>
        <row r="421">
          <cell r="A421" t="str">
            <v>H</v>
          </cell>
        </row>
        <row r="422">
          <cell r="A422" t="str">
            <v>H</v>
          </cell>
        </row>
        <row r="423">
          <cell r="A423" t="str">
            <v>H</v>
          </cell>
        </row>
        <row r="424">
          <cell r="A424" t="str">
            <v>H</v>
          </cell>
        </row>
        <row r="425">
          <cell r="A425" t="str">
            <v>H</v>
          </cell>
        </row>
        <row r="426">
          <cell r="A426" t="str">
            <v>H</v>
          </cell>
        </row>
        <row r="427">
          <cell r="A427" t="str">
            <v>H</v>
          </cell>
        </row>
        <row r="428">
          <cell r="A428" t="str">
            <v>H</v>
          </cell>
        </row>
        <row r="429">
          <cell r="A429" t="str">
            <v>H</v>
          </cell>
        </row>
        <row r="430">
          <cell r="A430" t="str">
            <v>H</v>
          </cell>
        </row>
        <row r="431">
          <cell r="A431" t="str">
            <v>H</v>
          </cell>
        </row>
        <row r="432">
          <cell r="A432" t="str">
            <v>H</v>
          </cell>
        </row>
        <row r="433">
          <cell r="A433" t="str">
            <v>H</v>
          </cell>
        </row>
        <row r="434">
          <cell r="A434" t="str">
            <v>H</v>
          </cell>
        </row>
        <row r="435">
          <cell r="A435" t="str">
            <v>H</v>
          </cell>
        </row>
        <row r="436">
          <cell r="A436" t="str">
            <v>H</v>
          </cell>
        </row>
        <row r="437">
          <cell r="A437" t="str">
            <v>H</v>
          </cell>
        </row>
        <row r="438">
          <cell r="A438" t="str">
            <v>H</v>
          </cell>
        </row>
        <row r="439">
          <cell r="A439" t="str">
            <v>H</v>
          </cell>
        </row>
        <row r="440">
          <cell r="A440" t="str">
            <v>H</v>
          </cell>
        </row>
        <row r="441">
          <cell r="A441" t="str">
            <v>H</v>
          </cell>
        </row>
        <row r="442">
          <cell r="A442" t="str">
            <v>H</v>
          </cell>
        </row>
        <row r="443">
          <cell r="A443" t="str">
            <v>H</v>
          </cell>
        </row>
        <row r="444">
          <cell r="A444" t="str">
            <v>H</v>
          </cell>
        </row>
        <row r="445">
          <cell r="A445" t="str">
            <v>H</v>
          </cell>
        </row>
        <row r="446">
          <cell r="A446" t="str">
            <v>H</v>
          </cell>
        </row>
        <row r="447">
          <cell r="A447" t="str">
            <v>H</v>
          </cell>
        </row>
        <row r="448">
          <cell r="A448" t="str">
            <v>H</v>
          </cell>
        </row>
        <row r="449">
          <cell r="A449" t="str">
            <v>H</v>
          </cell>
        </row>
        <row r="450">
          <cell r="A450" t="str">
            <v>H</v>
          </cell>
        </row>
        <row r="451">
          <cell r="A451" t="str">
            <v>H</v>
          </cell>
        </row>
        <row r="452">
          <cell r="A452" t="str">
            <v>H</v>
          </cell>
        </row>
        <row r="453">
          <cell r="A453" t="str">
            <v>H</v>
          </cell>
        </row>
        <row r="454">
          <cell r="A454" t="str">
            <v>H</v>
          </cell>
        </row>
        <row r="455">
          <cell r="A455" t="str">
            <v>H</v>
          </cell>
        </row>
        <row r="456">
          <cell r="A456" t="str">
            <v>H</v>
          </cell>
        </row>
        <row r="457">
          <cell r="A457" t="str">
            <v>H</v>
          </cell>
        </row>
        <row r="458">
          <cell r="A458" t="str">
            <v>H</v>
          </cell>
        </row>
        <row r="459">
          <cell r="A459" t="str">
            <v>H</v>
          </cell>
        </row>
        <row r="460">
          <cell r="A460" t="str">
            <v>H</v>
          </cell>
        </row>
        <row r="461">
          <cell r="A461" t="str">
            <v>H</v>
          </cell>
        </row>
        <row r="462">
          <cell r="A462" t="str">
            <v>H</v>
          </cell>
        </row>
        <row r="463">
          <cell r="A463" t="str">
            <v>H</v>
          </cell>
        </row>
        <row r="464">
          <cell r="A464" t="str">
            <v>H</v>
          </cell>
        </row>
        <row r="465">
          <cell r="A465" t="str">
            <v>H</v>
          </cell>
        </row>
        <row r="466">
          <cell r="A466" t="str">
            <v>H</v>
          </cell>
        </row>
        <row r="467">
          <cell r="A467" t="str">
            <v>H</v>
          </cell>
        </row>
        <row r="468">
          <cell r="A468" t="str">
            <v>H</v>
          </cell>
        </row>
        <row r="469">
          <cell r="A469" t="str">
            <v>H</v>
          </cell>
        </row>
        <row r="470">
          <cell r="A470" t="str">
            <v>H</v>
          </cell>
        </row>
        <row r="471">
          <cell r="A471" t="str">
            <v>H</v>
          </cell>
        </row>
        <row r="472">
          <cell r="A472" t="str">
            <v>H</v>
          </cell>
        </row>
        <row r="473">
          <cell r="A473" t="str">
            <v>H</v>
          </cell>
        </row>
        <row r="474">
          <cell r="A474" t="str">
            <v>H</v>
          </cell>
        </row>
        <row r="475">
          <cell r="A475" t="str">
            <v>H</v>
          </cell>
        </row>
        <row r="476">
          <cell r="A476" t="str">
            <v>H</v>
          </cell>
        </row>
        <row r="477">
          <cell r="A477" t="str">
            <v>H</v>
          </cell>
        </row>
        <row r="478">
          <cell r="A478" t="str">
            <v>H</v>
          </cell>
        </row>
        <row r="480">
          <cell r="A480" t="str">
            <v>I</v>
          </cell>
        </row>
        <row r="481">
          <cell r="A481" t="str">
            <v>I</v>
          </cell>
        </row>
        <row r="482">
          <cell r="A482" t="str">
            <v>I</v>
          </cell>
        </row>
        <row r="483">
          <cell r="A483" t="str">
            <v>I</v>
          </cell>
        </row>
        <row r="484">
          <cell r="A484" t="str">
            <v>I</v>
          </cell>
        </row>
        <row r="485">
          <cell r="A485" t="str">
            <v>I</v>
          </cell>
        </row>
        <row r="486">
          <cell r="A486" t="str">
            <v>I</v>
          </cell>
        </row>
        <row r="487">
          <cell r="A487" t="str">
            <v>I</v>
          </cell>
        </row>
        <row r="488">
          <cell r="A488" t="str">
            <v>I</v>
          </cell>
        </row>
        <row r="489">
          <cell r="A489" t="str">
            <v>I</v>
          </cell>
        </row>
        <row r="490">
          <cell r="A490" t="str">
            <v>I</v>
          </cell>
        </row>
        <row r="491">
          <cell r="A491" t="str">
            <v>I</v>
          </cell>
        </row>
        <row r="492">
          <cell r="A492" t="str">
            <v>I</v>
          </cell>
        </row>
        <row r="493">
          <cell r="A493" t="str">
            <v>I</v>
          </cell>
        </row>
        <row r="494">
          <cell r="A494" t="str">
            <v>I</v>
          </cell>
        </row>
        <row r="495">
          <cell r="A495" t="str">
            <v>I</v>
          </cell>
        </row>
        <row r="496">
          <cell r="A496" t="str">
            <v>I</v>
          </cell>
        </row>
        <row r="497">
          <cell r="A497" t="str">
            <v>I</v>
          </cell>
        </row>
        <row r="498">
          <cell r="A498" t="str">
            <v>I</v>
          </cell>
        </row>
        <row r="499">
          <cell r="A499" t="str">
            <v>I</v>
          </cell>
        </row>
        <row r="500">
          <cell r="A500" t="str">
            <v>I</v>
          </cell>
        </row>
        <row r="501">
          <cell r="A501" t="str">
            <v>I</v>
          </cell>
        </row>
        <row r="502">
          <cell r="A502" t="str">
            <v>I</v>
          </cell>
        </row>
        <row r="503">
          <cell r="A503" t="str">
            <v>I</v>
          </cell>
        </row>
      </sheetData>
      <sheetData sheetId="1"/>
      <sheetData sheetId="2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3"/>
      <sheetData sheetId="4"/>
      <sheetData sheetId="5"/>
      <sheetData sheetId="6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7"/>
      <sheetData sheetId="8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>
        <row r="15">
          <cell r="A15" t="str">
            <v>A</v>
          </cell>
        </row>
        <row r="16">
          <cell r="A16" t="str">
            <v>A</v>
          </cell>
        </row>
        <row r="17">
          <cell r="A17" t="str">
            <v>A</v>
          </cell>
        </row>
        <row r="18">
          <cell r="A18" t="str">
            <v>A</v>
          </cell>
        </row>
        <row r="19">
          <cell r="A19" t="str">
            <v>A</v>
          </cell>
        </row>
        <row r="20">
          <cell r="A20" t="str">
            <v>A</v>
          </cell>
        </row>
        <row r="21">
          <cell r="A21" t="str">
            <v>A</v>
          </cell>
        </row>
        <row r="22">
          <cell r="A22" t="str">
            <v>A</v>
          </cell>
        </row>
        <row r="24">
          <cell r="A24" t="str">
            <v>B</v>
          </cell>
        </row>
        <row r="25">
          <cell r="A25" t="str">
            <v>B</v>
          </cell>
        </row>
        <row r="26">
          <cell r="A26" t="str">
            <v>B</v>
          </cell>
        </row>
        <row r="27">
          <cell r="A27" t="str">
            <v>B</v>
          </cell>
        </row>
        <row r="28">
          <cell r="A28" t="str">
            <v>B</v>
          </cell>
        </row>
        <row r="29">
          <cell r="A29" t="str">
            <v>B</v>
          </cell>
        </row>
        <row r="30">
          <cell r="A30" t="str">
            <v>B</v>
          </cell>
        </row>
        <row r="31">
          <cell r="A31" t="str">
            <v>B</v>
          </cell>
        </row>
        <row r="32">
          <cell r="A32" t="str">
            <v>B</v>
          </cell>
        </row>
        <row r="33">
          <cell r="A33" t="str">
            <v>B</v>
          </cell>
        </row>
        <row r="34">
          <cell r="A34" t="str">
            <v>B</v>
          </cell>
        </row>
        <row r="35">
          <cell r="A35" t="str">
            <v>B</v>
          </cell>
        </row>
        <row r="36">
          <cell r="A36" t="str">
            <v>B</v>
          </cell>
        </row>
        <row r="37">
          <cell r="A37" t="str">
            <v>B</v>
          </cell>
        </row>
        <row r="38">
          <cell r="A38" t="str">
            <v>B</v>
          </cell>
        </row>
        <row r="39">
          <cell r="A39" t="str">
            <v>B</v>
          </cell>
        </row>
        <row r="40">
          <cell r="A40" t="str">
            <v>B</v>
          </cell>
        </row>
        <row r="41">
          <cell r="A41" t="str">
            <v>B</v>
          </cell>
        </row>
        <row r="42">
          <cell r="A42" t="str">
            <v>B</v>
          </cell>
        </row>
        <row r="43">
          <cell r="A43" t="str">
            <v>B</v>
          </cell>
        </row>
        <row r="44">
          <cell r="A44" t="str">
            <v>B</v>
          </cell>
        </row>
        <row r="45">
          <cell r="A45" t="str">
            <v>B</v>
          </cell>
        </row>
        <row r="46">
          <cell r="A46" t="str">
            <v>B</v>
          </cell>
        </row>
        <row r="47">
          <cell r="A47" t="str">
            <v>B</v>
          </cell>
        </row>
        <row r="48">
          <cell r="A48" t="str">
            <v>B</v>
          </cell>
        </row>
        <row r="49">
          <cell r="A49" t="str">
            <v>B</v>
          </cell>
        </row>
        <row r="50">
          <cell r="A50" t="str">
            <v>B</v>
          </cell>
        </row>
        <row r="51">
          <cell r="A51" t="str">
            <v>B</v>
          </cell>
        </row>
        <row r="52">
          <cell r="A52" t="str">
            <v>B</v>
          </cell>
        </row>
        <row r="53">
          <cell r="A53" t="str">
            <v>B</v>
          </cell>
        </row>
        <row r="55">
          <cell r="A55" t="str">
            <v>C</v>
          </cell>
        </row>
        <row r="56">
          <cell r="A56" t="str">
            <v>C</v>
          </cell>
        </row>
        <row r="57">
          <cell r="A57" t="str">
            <v>C</v>
          </cell>
        </row>
        <row r="58">
          <cell r="A58" t="str">
            <v>C</v>
          </cell>
        </row>
        <row r="59">
          <cell r="A59" t="str">
            <v>C</v>
          </cell>
        </row>
        <row r="60">
          <cell r="A60" t="str">
            <v>C</v>
          </cell>
        </row>
        <row r="61">
          <cell r="A61" t="str">
            <v>C</v>
          </cell>
        </row>
        <row r="62">
          <cell r="A62" t="str">
            <v>C</v>
          </cell>
        </row>
        <row r="63">
          <cell r="A63" t="str">
            <v>C</v>
          </cell>
        </row>
        <row r="64">
          <cell r="A64" t="str">
            <v>C</v>
          </cell>
        </row>
        <row r="65">
          <cell r="A65" t="str">
            <v>C</v>
          </cell>
        </row>
        <row r="66">
          <cell r="A66" t="str">
            <v>C</v>
          </cell>
        </row>
        <row r="67">
          <cell r="A67" t="str">
            <v>C</v>
          </cell>
        </row>
        <row r="68">
          <cell r="A68" t="str">
            <v>C</v>
          </cell>
        </row>
        <row r="69">
          <cell r="A69" t="str">
            <v>C</v>
          </cell>
        </row>
        <row r="70">
          <cell r="A70" t="str">
            <v>C</v>
          </cell>
        </row>
        <row r="71">
          <cell r="A71" t="str">
            <v>C</v>
          </cell>
        </row>
        <row r="72">
          <cell r="A72" t="str">
            <v>C</v>
          </cell>
        </row>
        <row r="73">
          <cell r="A73" t="str">
            <v>C</v>
          </cell>
        </row>
        <row r="74">
          <cell r="A74" t="str">
            <v>C</v>
          </cell>
        </row>
        <row r="75">
          <cell r="A75" t="str">
            <v>C</v>
          </cell>
        </row>
        <row r="76">
          <cell r="A76" t="str">
            <v>C</v>
          </cell>
        </row>
        <row r="77">
          <cell r="A77" t="str">
            <v>C</v>
          </cell>
        </row>
        <row r="78">
          <cell r="A78" t="str">
            <v>C</v>
          </cell>
        </row>
        <row r="79">
          <cell r="A79" t="str">
            <v>C</v>
          </cell>
        </row>
        <row r="80">
          <cell r="A80" t="str">
            <v>C</v>
          </cell>
        </row>
        <row r="81">
          <cell r="A81" t="str">
            <v>C</v>
          </cell>
        </row>
        <row r="82">
          <cell r="A82" t="str">
            <v>C</v>
          </cell>
        </row>
        <row r="83">
          <cell r="A83" t="str">
            <v>C</v>
          </cell>
        </row>
        <row r="84">
          <cell r="A84" t="str">
            <v>C</v>
          </cell>
        </row>
        <row r="85">
          <cell r="A85" t="str">
            <v>C</v>
          </cell>
        </row>
        <row r="86">
          <cell r="A86" t="str">
            <v>C</v>
          </cell>
        </row>
        <row r="88">
          <cell r="A88" t="str">
            <v>D</v>
          </cell>
        </row>
        <row r="89">
          <cell r="A89" t="str">
            <v>D</v>
          </cell>
        </row>
        <row r="90">
          <cell r="A90" t="str">
            <v>D</v>
          </cell>
        </row>
        <row r="91">
          <cell r="A91" t="str">
            <v>D</v>
          </cell>
        </row>
        <row r="92">
          <cell r="A92" t="str">
            <v>D</v>
          </cell>
        </row>
        <row r="93">
          <cell r="A93" t="str">
            <v>D</v>
          </cell>
        </row>
        <row r="94">
          <cell r="A94" t="str">
            <v>D</v>
          </cell>
        </row>
        <row r="95">
          <cell r="A95" t="str">
            <v>D</v>
          </cell>
        </row>
        <row r="96">
          <cell r="A96" t="str">
            <v>D</v>
          </cell>
        </row>
        <row r="97">
          <cell r="A97" t="str">
            <v>D</v>
          </cell>
        </row>
        <row r="98">
          <cell r="A98" t="str">
            <v>D</v>
          </cell>
        </row>
        <row r="99">
          <cell r="A99" t="str">
            <v>D</v>
          </cell>
        </row>
        <row r="100">
          <cell r="A100" t="str">
            <v>D</v>
          </cell>
        </row>
        <row r="101">
          <cell r="A101" t="str">
            <v>D</v>
          </cell>
        </row>
        <row r="102">
          <cell r="A102" t="str">
            <v>D</v>
          </cell>
        </row>
        <row r="103">
          <cell r="A103" t="str">
            <v>D</v>
          </cell>
        </row>
        <row r="104">
          <cell r="A104" t="str">
            <v>D</v>
          </cell>
        </row>
        <row r="105">
          <cell r="A105" t="str">
            <v>D</v>
          </cell>
        </row>
        <row r="106">
          <cell r="A106" t="str">
            <v>D</v>
          </cell>
        </row>
        <row r="107">
          <cell r="A107" t="str">
            <v>D</v>
          </cell>
        </row>
        <row r="108">
          <cell r="A108" t="str">
            <v>D</v>
          </cell>
        </row>
        <row r="109">
          <cell r="A109" t="str">
            <v>D</v>
          </cell>
        </row>
        <row r="110">
          <cell r="A110" t="str">
            <v>D</v>
          </cell>
        </row>
        <row r="111">
          <cell r="A111" t="str">
            <v>D</v>
          </cell>
        </row>
        <row r="112">
          <cell r="A112" t="str">
            <v>D</v>
          </cell>
        </row>
        <row r="113">
          <cell r="A113" t="str">
            <v>D</v>
          </cell>
        </row>
        <row r="114">
          <cell r="A114" t="str">
            <v>D</v>
          </cell>
        </row>
        <row r="115">
          <cell r="A115" t="str">
            <v>D</v>
          </cell>
        </row>
        <row r="116">
          <cell r="A116" t="str">
            <v>D</v>
          </cell>
        </row>
        <row r="117">
          <cell r="A117" t="str">
            <v>D</v>
          </cell>
        </row>
        <row r="118">
          <cell r="A118" t="str">
            <v>D</v>
          </cell>
        </row>
        <row r="119">
          <cell r="A119" t="str">
            <v>D</v>
          </cell>
        </row>
        <row r="120">
          <cell r="A120" t="str">
            <v>D</v>
          </cell>
        </row>
        <row r="121">
          <cell r="A121" t="str">
            <v>D</v>
          </cell>
        </row>
        <row r="122">
          <cell r="A122" t="str">
            <v>D</v>
          </cell>
        </row>
        <row r="123">
          <cell r="A123" t="str">
            <v>D</v>
          </cell>
        </row>
        <row r="124">
          <cell r="A124" t="str">
            <v>D</v>
          </cell>
        </row>
        <row r="125">
          <cell r="A125" t="str">
            <v>D</v>
          </cell>
        </row>
        <row r="126">
          <cell r="A126" t="str">
            <v>D</v>
          </cell>
        </row>
        <row r="127">
          <cell r="A127" t="str">
            <v>D</v>
          </cell>
        </row>
        <row r="128">
          <cell r="A128" t="str">
            <v>D</v>
          </cell>
        </row>
        <row r="129">
          <cell r="A129" t="str">
            <v>E</v>
          </cell>
        </row>
        <row r="130">
          <cell r="A130" t="str">
            <v>E</v>
          </cell>
        </row>
        <row r="131">
          <cell r="A131" t="str">
            <v>E</v>
          </cell>
        </row>
        <row r="132">
          <cell r="A132" t="str">
            <v>E</v>
          </cell>
        </row>
        <row r="133">
          <cell r="A133" t="str">
            <v>E</v>
          </cell>
        </row>
        <row r="134">
          <cell r="A134" t="str">
            <v>E</v>
          </cell>
        </row>
        <row r="135">
          <cell r="A135" t="str">
            <v>E</v>
          </cell>
        </row>
        <row r="136">
          <cell r="A136" t="str">
            <v>E</v>
          </cell>
        </row>
        <row r="137">
          <cell r="A137" t="str">
            <v>E</v>
          </cell>
        </row>
        <row r="138">
          <cell r="A138" t="str">
            <v>E</v>
          </cell>
        </row>
        <row r="139">
          <cell r="A139" t="str">
            <v>E</v>
          </cell>
        </row>
        <row r="140">
          <cell r="A140" t="str">
            <v>E</v>
          </cell>
        </row>
        <row r="141">
          <cell r="A141" t="str">
            <v>E</v>
          </cell>
        </row>
        <row r="142">
          <cell r="A142" t="str">
            <v>E</v>
          </cell>
        </row>
        <row r="143">
          <cell r="A143" t="str">
            <v>E</v>
          </cell>
        </row>
        <row r="144">
          <cell r="A144" t="str">
            <v>E</v>
          </cell>
        </row>
        <row r="145">
          <cell r="A145" t="str">
            <v>E</v>
          </cell>
        </row>
        <row r="146">
          <cell r="A146" t="str">
            <v>E</v>
          </cell>
        </row>
        <row r="147">
          <cell r="A147" t="str">
            <v>E</v>
          </cell>
        </row>
        <row r="148">
          <cell r="A148" t="str">
            <v>E</v>
          </cell>
        </row>
        <row r="149">
          <cell r="A149" t="str">
            <v>E</v>
          </cell>
        </row>
        <row r="150">
          <cell r="A150" t="str">
            <v>E</v>
          </cell>
        </row>
        <row r="151">
          <cell r="A151" t="str">
            <v>E</v>
          </cell>
        </row>
        <row r="152">
          <cell r="A152" t="str">
            <v>E</v>
          </cell>
        </row>
        <row r="153">
          <cell r="A153" t="str">
            <v>E</v>
          </cell>
        </row>
        <row r="154">
          <cell r="A154" t="str">
            <v>E</v>
          </cell>
        </row>
        <row r="155">
          <cell r="A155" t="str">
            <v>E</v>
          </cell>
        </row>
        <row r="156">
          <cell r="A156" t="str">
            <v>E</v>
          </cell>
        </row>
        <row r="157">
          <cell r="A157" t="str">
            <v>E</v>
          </cell>
        </row>
        <row r="158">
          <cell r="A158" t="str">
            <v>E</v>
          </cell>
        </row>
        <row r="159">
          <cell r="A159" t="str">
            <v>E</v>
          </cell>
        </row>
        <row r="160">
          <cell r="A160" t="str">
            <v>E</v>
          </cell>
        </row>
        <row r="161">
          <cell r="A161" t="str">
            <v>E</v>
          </cell>
        </row>
        <row r="162">
          <cell r="A162" t="str">
            <v>E</v>
          </cell>
        </row>
        <row r="163">
          <cell r="A163" t="str">
            <v>E</v>
          </cell>
        </row>
        <row r="164">
          <cell r="A164" t="str">
            <v>E</v>
          </cell>
        </row>
        <row r="165">
          <cell r="A165" t="str">
            <v>E</v>
          </cell>
        </row>
        <row r="166">
          <cell r="A166" t="str">
            <v>E</v>
          </cell>
        </row>
        <row r="167">
          <cell r="A167" t="str">
            <v>E</v>
          </cell>
        </row>
        <row r="168">
          <cell r="A168" t="str">
            <v>E</v>
          </cell>
        </row>
        <row r="169">
          <cell r="A169" t="str">
            <v>E</v>
          </cell>
        </row>
        <row r="170">
          <cell r="A170" t="str">
            <v>E</v>
          </cell>
        </row>
        <row r="171">
          <cell r="A171" t="str">
            <v>E</v>
          </cell>
        </row>
        <row r="172">
          <cell r="A172" t="str">
            <v>E</v>
          </cell>
        </row>
        <row r="173">
          <cell r="A173" t="str">
            <v>E</v>
          </cell>
        </row>
        <row r="174">
          <cell r="A174" t="str">
            <v>E</v>
          </cell>
        </row>
        <row r="175">
          <cell r="A175" t="str">
            <v>E</v>
          </cell>
        </row>
        <row r="176">
          <cell r="A176" t="str">
            <v>E</v>
          </cell>
        </row>
        <row r="177">
          <cell r="A177" t="str">
            <v>E</v>
          </cell>
        </row>
        <row r="178">
          <cell r="A178" t="str">
            <v>E</v>
          </cell>
        </row>
        <row r="179">
          <cell r="A179" t="str">
            <v>E</v>
          </cell>
        </row>
        <row r="180">
          <cell r="A180" t="str">
            <v>E</v>
          </cell>
        </row>
        <row r="181">
          <cell r="A181" t="str">
            <v>E</v>
          </cell>
        </row>
        <row r="182">
          <cell r="A182" t="str">
            <v>E</v>
          </cell>
        </row>
        <row r="183">
          <cell r="A183" t="str">
            <v>E</v>
          </cell>
        </row>
        <row r="184">
          <cell r="A184" t="str">
            <v>E</v>
          </cell>
        </row>
        <row r="185">
          <cell r="A185" t="str">
            <v>E</v>
          </cell>
        </row>
        <row r="186">
          <cell r="A186" t="str">
            <v>E</v>
          </cell>
        </row>
        <row r="188">
          <cell r="A188" t="str">
            <v>F</v>
          </cell>
        </row>
        <row r="189">
          <cell r="A189" t="str">
            <v>F</v>
          </cell>
        </row>
        <row r="190">
          <cell r="A190" t="str">
            <v>F</v>
          </cell>
        </row>
        <row r="191">
          <cell r="A191" t="str">
            <v>F</v>
          </cell>
        </row>
        <row r="192">
          <cell r="A192" t="str">
            <v>F</v>
          </cell>
        </row>
        <row r="193">
          <cell r="A193" t="str">
            <v>F</v>
          </cell>
        </row>
        <row r="194">
          <cell r="A194" t="str">
            <v>F</v>
          </cell>
        </row>
        <row r="195">
          <cell r="A195" t="str">
            <v>F</v>
          </cell>
        </row>
        <row r="196">
          <cell r="A196" t="str">
            <v>F</v>
          </cell>
        </row>
        <row r="197">
          <cell r="A197" t="str">
            <v>F</v>
          </cell>
        </row>
        <row r="198">
          <cell r="A198" t="str">
            <v>F</v>
          </cell>
        </row>
        <row r="199">
          <cell r="A199" t="str">
            <v>F</v>
          </cell>
        </row>
        <row r="200">
          <cell r="A200" t="str">
            <v>F</v>
          </cell>
        </row>
        <row r="201">
          <cell r="A201" t="str">
            <v>F</v>
          </cell>
        </row>
        <row r="202">
          <cell r="A202" t="str">
            <v>F</v>
          </cell>
        </row>
        <row r="203">
          <cell r="A203" t="str">
            <v>F</v>
          </cell>
        </row>
        <row r="204">
          <cell r="A204" t="str">
            <v>F</v>
          </cell>
        </row>
        <row r="205">
          <cell r="A205" t="str">
            <v>F</v>
          </cell>
        </row>
        <row r="206">
          <cell r="A206" t="str">
            <v>F</v>
          </cell>
        </row>
        <row r="207">
          <cell r="A207" t="str">
            <v>F</v>
          </cell>
        </row>
        <row r="208">
          <cell r="A208" t="str">
            <v>F</v>
          </cell>
        </row>
        <row r="209">
          <cell r="A209" t="str">
            <v>F</v>
          </cell>
        </row>
        <row r="210">
          <cell r="A210" t="str">
            <v>F</v>
          </cell>
        </row>
        <row r="211">
          <cell r="A211" t="str">
            <v>F</v>
          </cell>
        </row>
        <row r="212">
          <cell r="A212" t="str">
            <v>F</v>
          </cell>
        </row>
        <row r="213">
          <cell r="A213" t="str">
            <v>F</v>
          </cell>
        </row>
        <row r="214">
          <cell r="A214" t="str">
            <v>F</v>
          </cell>
        </row>
        <row r="215">
          <cell r="A215" t="str">
            <v>F</v>
          </cell>
        </row>
        <row r="216">
          <cell r="A216" t="str">
            <v>F</v>
          </cell>
        </row>
        <row r="217">
          <cell r="A217" t="str">
            <v>F</v>
          </cell>
        </row>
        <row r="218">
          <cell r="A218" t="str">
            <v>F</v>
          </cell>
        </row>
        <row r="219">
          <cell r="A219" t="str">
            <v>F</v>
          </cell>
        </row>
        <row r="220">
          <cell r="A220" t="str">
            <v>F</v>
          </cell>
        </row>
        <row r="221">
          <cell r="A221" t="str">
            <v>F</v>
          </cell>
        </row>
        <row r="222">
          <cell r="A222" t="str">
            <v>F</v>
          </cell>
        </row>
        <row r="223">
          <cell r="A223" t="str">
            <v>F</v>
          </cell>
        </row>
        <row r="224">
          <cell r="A224" t="str">
            <v>F</v>
          </cell>
        </row>
        <row r="225">
          <cell r="A225" t="str">
            <v>F</v>
          </cell>
        </row>
        <row r="226">
          <cell r="A226" t="str">
            <v>F</v>
          </cell>
        </row>
        <row r="227">
          <cell r="A227" t="str">
            <v>F</v>
          </cell>
        </row>
        <row r="228">
          <cell r="A228" t="str">
            <v>F</v>
          </cell>
        </row>
        <row r="229">
          <cell r="A229" t="str">
            <v>F</v>
          </cell>
        </row>
        <row r="230">
          <cell r="A230" t="str">
            <v>F</v>
          </cell>
        </row>
        <row r="231">
          <cell r="A231" t="str">
            <v>F</v>
          </cell>
        </row>
        <row r="232">
          <cell r="A232" t="str">
            <v>F</v>
          </cell>
        </row>
        <row r="233">
          <cell r="A233" t="str">
            <v>F</v>
          </cell>
        </row>
        <row r="234">
          <cell r="A234" t="str">
            <v>F</v>
          </cell>
        </row>
        <row r="235">
          <cell r="A235" t="str">
            <v>F</v>
          </cell>
        </row>
        <row r="236">
          <cell r="A236" t="str">
            <v>F</v>
          </cell>
        </row>
        <row r="237">
          <cell r="A237" t="str">
            <v>F</v>
          </cell>
        </row>
        <row r="238">
          <cell r="A238" t="str">
            <v>F</v>
          </cell>
        </row>
        <row r="239">
          <cell r="A239" t="str">
            <v>F</v>
          </cell>
        </row>
        <row r="240">
          <cell r="A240" t="str">
            <v>F</v>
          </cell>
        </row>
        <row r="241">
          <cell r="A241" t="str">
            <v>F</v>
          </cell>
        </row>
        <row r="242">
          <cell r="A242" t="str">
            <v>F</v>
          </cell>
        </row>
        <row r="243">
          <cell r="A243" t="str">
            <v>F</v>
          </cell>
        </row>
        <row r="244">
          <cell r="A244" t="str">
            <v>F</v>
          </cell>
        </row>
        <row r="245">
          <cell r="A245" t="str">
            <v>F</v>
          </cell>
        </row>
        <row r="246">
          <cell r="A246" t="str">
            <v>F</v>
          </cell>
        </row>
        <row r="247">
          <cell r="A247" t="str">
            <v>F</v>
          </cell>
        </row>
        <row r="248">
          <cell r="A248" t="str">
            <v>F</v>
          </cell>
        </row>
        <row r="249">
          <cell r="A249" t="str">
            <v>F</v>
          </cell>
        </row>
        <row r="250">
          <cell r="A250" t="str">
            <v>F</v>
          </cell>
        </row>
        <row r="251">
          <cell r="A251" t="str">
            <v>F</v>
          </cell>
        </row>
        <row r="252">
          <cell r="A252" t="str">
            <v>F</v>
          </cell>
        </row>
        <row r="253">
          <cell r="A253" t="str">
            <v>F</v>
          </cell>
        </row>
        <row r="254">
          <cell r="A254" t="str">
            <v>F</v>
          </cell>
        </row>
        <row r="255">
          <cell r="A255" t="str">
            <v>F</v>
          </cell>
        </row>
        <row r="256">
          <cell r="A256" t="str">
            <v>F</v>
          </cell>
        </row>
        <row r="257">
          <cell r="A257" t="str">
            <v>F</v>
          </cell>
        </row>
        <row r="258">
          <cell r="A258" t="str">
            <v>F</v>
          </cell>
        </row>
        <row r="259">
          <cell r="A259" t="str">
            <v>F</v>
          </cell>
        </row>
        <row r="260">
          <cell r="A260" t="str">
            <v>F</v>
          </cell>
        </row>
        <row r="261">
          <cell r="A261" t="str">
            <v>F</v>
          </cell>
        </row>
        <row r="262">
          <cell r="A262" t="str">
            <v>F</v>
          </cell>
        </row>
        <row r="263">
          <cell r="A263" t="str">
            <v>F</v>
          </cell>
        </row>
        <row r="264">
          <cell r="A264" t="str">
            <v>F</v>
          </cell>
        </row>
        <row r="265">
          <cell r="A265" t="str">
            <v>F</v>
          </cell>
        </row>
        <row r="266">
          <cell r="A266" t="str">
            <v>F</v>
          </cell>
        </row>
        <row r="270">
          <cell r="A270" t="str">
            <v>H</v>
          </cell>
        </row>
        <row r="271">
          <cell r="A271" t="str">
            <v>H</v>
          </cell>
        </row>
        <row r="272">
          <cell r="A272" t="str">
            <v>H</v>
          </cell>
        </row>
        <row r="273">
          <cell r="A273" t="str">
            <v>H</v>
          </cell>
        </row>
        <row r="274">
          <cell r="A274" t="str">
            <v>H</v>
          </cell>
        </row>
        <row r="275">
          <cell r="A275" t="str">
            <v>H</v>
          </cell>
        </row>
        <row r="276">
          <cell r="A276" t="str">
            <v>H</v>
          </cell>
        </row>
        <row r="277">
          <cell r="A277" t="str">
            <v>H</v>
          </cell>
        </row>
        <row r="278">
          <cell r="A278" t="str">
            <v>H</v>
          </cell>
        </row>
        <row r="279">
          <cell r="A279" t="str">
            <v>H</v>
          </cell>
        </row>
        <row r="280">
          <cell r="A280" t="str">
            <v>H</v>
          </cell>
        </row>
        <row r="281">
          <cell r="A281" t="str">
            <v>H</v>
          </cell>
        </row>
        <row r="282">
          <cell r="A282" t="str">
            <v>H</v>
          </cell>
        </row>
        <row r="283">
          <cell r="A283" t="str">
            <v>H</v>
          </cell>
        </row>
        <row r="284">
          <cell r="A284" t="str">
            <v>H</v>
          </cell>
        </row>
        <row r="285">
          <cell r="A285" t="str">
            <v>H</v>
          </cell>
        </row>
        <row r="286">
          <cell r="A286" t="str">
            <v>H</v>
          </cell>
        </row>
        <row r="287">
          <cell r="A287" t="str">
            <v>H</v>
          </cell>
        </row>
        <row r="288">
          <cell r="A288" t="str">
            <v>H</v>
          </cell>
        </row>
        <row r="289">
          <cell r="A289" t="str">
            <v>H</v>
          </cell>
        </row>
        <row r="290">
          <cell r="A290" t="str">
            <v>H</v>
          </cell>
        </row>
        <row r="291">
          <cell r="A291" t="str">
            <v>H</v>
          </cell>
        </row>
        <row r="292">
          <cell r="A292" t="str">
            <v>H</v>
          </cell>
        </row>
        <row r="293">
          <cell r="A293" t="str">
            <v>H</v>
          </cell>
        </row>
        <row r="294">
          <cell r="A294" t="str">
            <v>H</v>
          </cell>
        </row>
        <row r="295">
          <cell r="A295" t="str">
            <v>H</v>
          </cell>
        </row>
        <row r="296">
          <cell r="A296" t="str">
            <v>H</v>
          </cell>
        </row>
        <row r="297">
          <cell r="A297" t="str">
            <v>H</v>
          </cell>
        </row>
        <row r="298">
          <cell r="A298" t="str">
            <v>H</v>
          </cell>
        </row>
        <row r="299">
          <cell r="A299" t="str">
            <v>H</v>
          </cell>
        </row>
        <row r="300">
          <cell r="A300" t="str">
            <v>H</v>
          </cell>
        </row>
        <row r="301">
          <cell r="A301" t="str">
            <v>H</v>
          </cell>
        </row>
        <row r="302">
          <cell r="A302" t="str">
            <v>H</v>
          </cell>
        </row>
        <row r="303">
          <cell r="A303" t="str">
            <v>H</v>
          </cell>
        </row>
        <row r="304">
          <cell r="A304" t="str">
            <v>H</v>
          </cell>
        </row>
        <row r="305">
          <cell r="A305" t="str">
            <v>H</v>
          </cell>
        </row>
        <row r="306">
          <cell r="A306" t="str">
            <v>H</v>
          </cell>
        </row>
        <row r="307">
          <cell r="A307" t="str">
            <v>H</v>
          </cell>
        </row>
        <row r="308">
          <cell r="A308" t="str">
            <v>H</v>
          </cell>
        </row>
        <row r="309">
          <cell r="A309" t="str">
            <v>H</v>
          </cell>
        </row>
        <row r="310">
          <cell r="A310" t="str">
            <v>H</v>
          </cell>
        </row>
        <row r="311">
          <cell r="A311" t="str">
            <v>H</v>
          </cell>
        </row>
        <row r="312">
          <cell r="A312" t="str">
            <v>H</v>
          </cell>
        </row>
        <row r="313">
          <cell r="A313" t="str">
            <v>H</v>
          </cell>
        </row>
        <row r="314">
          <cell r="A314" t="str">
            <v>H</v>
          </cell>
        </row>
        <row r="315">
          <cell r="A315" t="str">
            <v>H</v>
          </cell>
        </row>
        <row r="316">
          <cell r="A316" t="str">
            <v>H</v>
          </cell>
        </row>
        <row r="317">
          <cell r="A317" t="str">
            <v>H</v>
          </cell>
        </row>
        <row r="318">
          <cell r="A318" t="str">
            <v>H</v>
          </cell>
        </row>
        <row r="319">
          <cell r="A319" t="str">
            <v>H</v>
          </cell>
        </row>
        <row r="320">
          <cell r="A320" t="str">
            <v>H</v>
          </cell>
        </row>
        <row r="321">
          <cell r="A321" t="str">
            <v>H</v>
          </cell>
        </row>
        <row r="322">
          <cell r="A322" t="str">
            <v>H</v>
          </cell>
        </row>
        <row r="323">
          <cell r="A323" t="str">
            <v>H</v>
          </cell>
        </row>
        <row r="324">
          <cell r="A324" t="str">
            <v>H</v>
          </cell>
        </row>
        <row r="325">
          <cell r="A325" t="str">
            <v>H</v>
          </cell>
        </row>
        <row r="326">
          <cell r="A326" t="str">
            <v>H</v>
          </cell>
        </row>
        <row r="327">
          <cell r="A327" t="str">
            <v>H</v>
          </cell>
        </row>
        <row r="328">
          <cell r="A328" t="str">
            <v>H</v>
          </cell>
        </row>
        <row r="329">
          <cell r="A329" t="str">
            <v>H</v>
          </cell>
        </row>
        <row r="330">
          <cell r="A330" t="str">
            <v>H</v>
          </cell>
        </row>
        <row r="331">
          <cell r="A331" t="str">
            <v>H</v>
          </cell>
        </row>
        <row r="332">
          <cell r="A332" t="str">
            <v>H</v>
          </cell>
        </row>
        <row r="333">
          <cell r="A333" t="str">
            <v>H</v>
          </cell>
        </row>
        <row r="334">
          <cell r="A334" t="str">
            <v>H</v>
          </cell>
        </row>
        <row r="335">
          <cell r="A335" t="str">
            <v>H</v>
          </cell>
        </row>
        <row r="336">
          <cell r="A336" t="str">
            <v>H</v>
          </cell>
        </row>
        <row r="337">
          <cell r="A337" t="str">
            <v>H</v>
          </cell>
        </row>
        <row r="338">
          <cell r="A338" t="str">
            <v>H</v>
          </cell>
        </row>
        <row r="339">
          <cell r="A339" t="str">
            <v>H</v>
          </cell>
        </row>
        <row r="340">
          <cell r="A340" t="str">
            <v>H</v>
          </cell>
        </row>
        <row r="341">
          <cell r="A341" t="str">
            <v>H</v>
          </cell>
        </row>
        <row r="342">
          <cell r="A342" t="str">
            <v>H</v>
          </cell>
        </row>
        <row r="343">
          <cell r="A343" t="str">
            <v>H</v>
          </cell>
        </row>
        <row r="344">
          <cell r="A344" t="str">
            <v>H</v>
          </cell>
        </row>
        <row r="345">
          <cell r="A345" t="str">
            <v>H</v>
          </cell>
        </row>
        <row r="346">
          <cell r="A346" t="str">
            <v>H</v>
          </cell>
        </row>
        <row r="347">
          <cell r="A347" t="str">
            <v>H</v>
          </cell>
        </row>
        <row r="348">
          <cell r="A348" t="str">
            <v>H</v>
          </cell>
        </row>
        <row r="349">
          <cell r="A349" t="str">
            <v>H</v>
          </cell>
        </row>
        <row r="350">
          <cell r="A350" t="str">
            <v>H</v>
          </cell>
        </row>
        <row r="351">
          <cell r="A351" t="str">
            <v>H</v>
          </cell>
        </row>
        <row r="352">
          <cell r="A352" t="str">
            <v>H</v>
          </cell>
        </row>
        <row r="353">
          <cell r="A353" t="str">
            <v>H</v>
          </cell>
        </row>
        <row r="354">
          <cell r="A354" t="str">
            <v>H</v>
          </cell>
        </row>
        <row r="355">
          <cell r="A355" t="str">
            <v>H</v>
          </cell>
        </row>
        <row r="356">
          <cell r="A356" t="str">
            <v>H</v>
          </cell>
        </row>
        <row r="357">
          <cell r="A357" t="str">
            <v>H</v>
          </cell>
        </row>
        <row r="358">
          <cell r="A358" t="str">
            <v>H</v>
          </cell>
        </row>
        <row r="359">
          <cell r="A359" t="str">
            <v>H</v>
          </cell>
        </row>
        <row r="360">
          <cell r="A360" t="str">
            <v>H</v>
          </cell>
        </row>
        <row r="361">
          <cell r="A361" t="str">
            <v>H</v>
          </cell>
        </row>
        <row r="362">
          <cell r="A362" t="str">
            <v>H</v>
          </cell>
        </row>
        <row r="363">
          <cell r="A363" t="str">
            <v>H</v>
          </cell>
        </row>
        <row r="364">
          <cell r="A364" t="str">
            <v>H</v>
          </cell>
        </row>
        <row r="365">
          <cell r="A365" t="str">
            <v>H</v>
          </cell>
        </row>
        <row r="366">
          <cell r="A366" t="str">
            <v>H</v>
          </cell>
        </row>
        <row r="367">
          <cell r="A367" t="str">
            <v>H</v>
          </cell>
        </row>
        <row r="368">
          <cell r="A368" t="str">
            <v>H</v>
          </cell>
        </row>
        <row r="369">
          <cell r="A369" t="str">
            <v>H</v>
          </cell>
        </row>
        <row r="370">
          <cell r="A370" t="str">
            <v>H</v>
          </cell>
        </row>
        <row r="371">
          <cell r="A371" t="str">
            <v>H</v>
          </cell>
        </row>
        <row r="372">
          <cell r="A372" t="str">
            <v>H</v>
          </cell>
        </row>
        <row r="373">
          <cell r="A373" t="str">
            <v>H</v>
          </cell>
        </row>
        <row r="374">
          <cell r="A374" t="str">
            <v>H</v>
          </cell>
        </row>
        <row r="375">
          <cell r="A375" t="str">
            <v>H</v>
          </cell>
        </row>
        <row r="376">
          <cell r="A376" t="str">
            <v>H</v>
          </cell>
        </row>
        <row r="377">
          <cell r="A377" t="str">
            <v>H</v>
          </cell>
        </row>
        <row r="378">
          <cell r="A378" t="str">
            <v>H</v>
          </cell>
        </row>
        <row r="379">
          <cell r="A379" t="str">
            <v>H</v>
          </cell>
        </row>
        <row r="380">
          <cell r="A380" t="str">
            <v>H</v>
          </cell>
        </row>
        <row r="381">
          <cell r="A381" t="str">
            <v>H</v>
          </cell>
        </row>
        <row r="382">
          <cell r="A382" t="str">
            <v>H</v>
          </cell>
        </row>
        <row r="383">
          <cell r="A383" t="str">
            <v>H</v>
          </cell>
        </row>
        <row r="384">
          <cell r="A384" t="str">
            <v>H</v>
          </cell>
        </row>
        <row r="385">
          <cell r="A385" t="str">
            <v>H</v>
          </cell>
        </row>
        <row r="386">
          <cell r="A386" t="str">
            <v>H</v>
          </cell>
        </row>
        <row r="387">
          <cell r="A387" t="str">
            <v>H</v>
          </cell>
        </row>
        <row r="388">
          <cell r="A388" t="str">
            <v>H</v>
          </cell>
        </row>
        <row r="389">
          <cell r="A389" t="str">
            <v>H</v>
          </cell>
        </row>
        <row r="390">
          <cell r="A390" t="str">
            <v>H</v>
          </cell>
        </row>
        <row r="391">
          <cell r="A391" t="str">
            <v>H</v>
          </cell>
        </row>
        <row r="392">
          <cell r="A392" t="str">
            <v>H</v>
          </cell>
        </row>
        <row r="393">
          <cell r="A393" t="str">
            <v>H</v>
          </cell>
        </row>
        <row r="394">
          <cell r="A394" t="str">
            <v>H</v>
          </cell>
        </row>
        <row r="395">
          <cell r="A395" t="str">
            <v>H</v>
          </cell>
        </row>
        <row r="396">
          <cell r="A396" t="str">
            <v>H</v>
          </cell>
        </row>
        <row r="397">
          <cell r="A397" t="str">
            <v>H</v>
          </cell>
        </row>
        <row r="398">
          <cell r="A398" t="str">
            <v>H</v>
          </cell>
        </row>
        <row r="399">
          <cell r="A399" t="str">
            <v>H</v>
          </cell>
        </row>
        <row r="400">
          <cell r="A400" t="str">
            <v>H</v>
          </cell>
        </row>
        <row r="401">
          <cell r="A401" t="str">
            <v>H</v>
          </cell>
        </row>
        <row r="402">
          <cell r="A402" t="str">
            <v>H</v>
          </cell>
        </row>
        <row r="403">
          <cell r="A403" t="str">
            <v>H</v>
          </cell>
        </row>
        <row r="404">
          <cell r="A404" t="str">
            <v>H</v>
          </cell>
        </row>
        <row r="405">
          <cell r="A405" t="str">
            <v>H</v>
          </cell>
        </row>
        <row r="406">
          <cell r="A406" t="str">
            <v>H</v>
          </cell>
        </row>
        <row r="407">
          <cell r="A407" t="str">
            <v>H</v>
          </cell>
        </row>
        <row r="408">
          <cell r="A408" t="str">
            <v>H</v>
          </cell>
        </row>
        <row r="409">
          <cell r="A409" t="str">
            <v>H</v>
          </cell>
        </row>
        <row r="410">
          <cell r="A410" t="str">
            <v>H</v>
          </cell>
        </row>
        <row r="411">
          <cell r="A411" t="str">
            <v>H</v>
          </cell>
        </row>
        <row r="412">
          <cell r="A412" t="str">
            <v>H</v>
          </cell>
        </row>
        <row r="413">
          <cell r="A413" t="str">
            <v>H</v>
          </cell>
        </row>
        <row r="414">
          <cell r="A414" t="str">
            <v>H</v>
          </cell>
        </row>
        <row r="415">
          <cell r="A415" t="str">
            <v>H</v>
          </cell>
        </row>
        <row r="416">
          <cell r="A416" t="str">
            <v>H</v>
          </cell>
        </row>
        <row r="417">
          <cell r="A417" t="str">
            <v>H</v>
          </cell>
        </row>
        <row r="418">
          <cell r="A418" t="str">
            <v>H</v>
          </cell>
        </row>
        <row r="419">
          <cell r="A419" t="str">
            <v>H</v>
          </cell>
        </row>
        <row r="420">
          <cell r="A420" t="str">
            <v>H</v>
          </cell>
        </row>
        <row r="421">
          <cell r="A421" t="str">
            <v>H</v>
          </cell>
        </row>
        <row r="422">
          <cell r="A422" t="str">
            <v>H</v>
          </cell>
        </row>
        <row r="423">
          <cell r="A423" t="str">
            <v>H</v>
          </cell>
        </row>
        <row r="424">
          <cell r="A424" t="str">
            <v>H</v>
          </cell>
        </row>
        <row r="425">
          <cell r="A425" t="str">
            <v>H</v>
          </cell>
        </row>
        <row r="426">
          <cell r="A426" t="str">
            <v>H</v>
          </cell>
        </row>
        <row r="427">
          <cell r="A427" t="str">
            <v>H</v>
          </cell>
        </row>
        <row r="428">
          <cell r="A428" t="str">
            <v>H</v>
          </cell>
        </row>
        <row r="429">
          <cell r="A429" t="str">
            <v>H</v>
          </cell>
        </row>
        <row r="430">
          <cell r="A430" t="str">
            <v>H</v>
          </cell>
        </row>
        <row r="431">
          <cell r="A431" t="str">
            <v>H</v>
          </cell>
        </row>
        <row r="432">
          <cell r="A432" t="str">
            <v>H</v>
          </cell>
        </row>
        <row r="433">
          <cell r="A433" t="str">
            <v>H</v>
          </cell>
        </row>
        <row r="434">
          <cell r="A434" t="str">
            <v>H</v>
          </cell>
        </row>
        <row r="435">
          <cell r="A435" t="str">
            <v>H</v>
          </cell>
        </row>
        <row r="436">
          <cell r="A436" t="str">
            <v>H</v>
          </cell>
        </row>
        <row r="437">
          <cell r="A437" t="str">
            <v>H</v>
          </cell>
        </row>
        <row r="438">
          <cell r="A438" t="str">
            <v>H</v>
          </cell>
        </row>
        <row r="439">
          <cell r="A439" t="str">
            <v>H</v>
          </cell>
        </row>
        <row r="440">
          <cell r="A440" t="str">
            <v>H</v>
          </cell>
        </row>
        <row r="441">
          <cell r="A441" t="str">
            <v>H</v>
          </cell>
        </row>
        <row r="442">
          <cell r="A442" t="str">
            <v>H</v>
          </cell>
        </row>
        <row r="443">
          <cell r="A443" t="str">
            <v>H</v>
          </cell>
        </row>
        <row r="444">
          <cell r="A444" t="str">
            <v>H</v>
          </cell>
        </row>
        <row r="445">
          <cell r="A445" t="str">
            <v>H</v>
          </cell>
        </row>
        <row r="446">
          <cell r="A446" t="str">
            <v>H</v>
          </cell>
        </row>
        <row r="447">
          <cell r="A447" t="str">
            <v>H</v>
          </cell>
        </row>
        <row r="448">
          <cell r="A448" t="str">
            <v>H</v>
          </cell>
        </row>
        <row r="449">
          <cell r="A449" t="str">
            <v>H</v>
          </cell>
        </row>
        <row r="450">
          <cell r="A450" t="str">
            <v>H</v>
          </cell>
        </row>
        <row r="451">
          <cell r="A451" t="str">
            <v>H</v>
          </cell>
        </row>
        <row r="452">
          <cell r="A452" t="str">
            <v>H</v>
          </cell>
        </row>
        <row r="453">
          <cell r="A453" t="str">
            <v>H</v>
          </cell>
        </row>
        <row r="454">
          <cell r="A454" t="str">
            <v>H</v>
          </cell>
        </row>
        <row r="455">
          <cell r="A455" t="str">
            <v>H</v>
          </cell>
        </row>
        <row r="456">
          <cell r="A456" t="str">
            <v>H</v>
          </cell>
        </row>
        <row r="457">
          <cell r="A457" t="str">
            <v>H</v>
          </cell>
        </row>
        <row r="458">
          <cell r="A458" t="str">
            <v>H</v>
          </cell>
        </row>
        <row r="459">
          <cell r="A459" t="str">
            <v>H</v>
          </cell>
        </row>
        <row r="460">
          <cell r="A460" t="str">
            <v>H</v>
          </cell>
        </row>
        <row r="461">
          <cell r="A461" t="str">
            <v>H</v>
          </cell>
        </row>
        <row r="462">
          <cell r="A462" t="str">
            <v>H</v>
          </cell>
        </row>
        <row r="463">
          <cell r="A463" t="str">
            <v>H</v>
          </cell>
        </row>
        <row r="464">
          <cell r="A464" t="str">
            <v>H</v>
          </cell>
        </row>
        <row r="465">
          <cell r="A465" t="str">
            <v>H</v>
          </cell>
        </row>
        <row r="466">
          <cell r="A466" t="str">
            <v>H</v>
          </cell>
        </row>
        <row r="467">
          <cell r="A467" t="str">
            <v>H</v>
          </cell>
        </row>
        <row r="468">
          <cell r="A468" t="str">
            <v>H</v>
          </cell>
        </row>
        <row r="469">
          <cell r="A469" t="str">
            <v>H</v>
          </cell>
        </row>
        <row r="470">
          <cell r="A470" t="str">
            <v>H</v>
          </cell>
        </row>
        <row r="471">
          <cell r="A471" t="str">
            <v>H</v>
          </cell>
        </row>
        <row r="472">
          <cell r="A472" t="str">
            <v>H</v>
          </cell>
        </row>
        <row r="473">
          <cell r="A473" t="str">
            <v>H</v>
          </cell>
        </row>
        <row r="474">
          <cell r="A474" t="str">
            <v>H</v>
          </cell>
        </row>
        <row r="475">
          <cell r="A475" t="str">
            <v>H</v>
          </cell>
        </row>
        <row r="476">
          <cell r="A476" t="str">
            <v>H</v>
          </cell>
        </row>
        <row r="477">
          <cell r="A477" t="str">
            <v>H</v>
          </cell>
        </row>
        <row r="478">
          <cell r="A478" t="str">
            <v>H</v>
          </cell>
        </row>
        <row r="480">
          <cell r="A480" t="str">
            <v>I</v>
          </cell>
        </row>
        <row r="481">
          <cell r="A481" t="str">
            <v>I</v>
          </cell>
        </row>
        <row r="482">
          <cell r="A482" t="str">
            <v>I</v>
          </cell>
        </row>
        <row r="483">
          <cell r="A483" t="str">
            <v>I</v>
          </cell>
        </row>
        <row r="484">
          <cell r="A484" t="str">
            <v>I</v>
          </cell>
        </row>
        <row r="485">
          <cell r="A485" t="str">
            <v>I</v>
          </cell>
        </row>
        <row r="486">
          <cell r="A486" t="str">
            <v>I</v>
          </cell>
        </row>
        <row r="487">
          <cell r="A487" t="str">
            <v>I</v>
          </cell>
        </row>
        <row r="488">
          <cell r="A488" t="str">
            <v>I</v>
          </cell>
        </row>
        <row r="489">
          <cell r="A489" t="str">
            <v>I</v>
          </cell>
        </row>
        <row r="490">
          <cell r="A490" t="str">
            <v>I</v>
          </cell>
        </row>
        <row r="491">
          <cell r="A491" t="str">
            <v>I</v>
          </cell>
        </row>
        <row r="492">
          <cell r="A492" t="str">
            <v>I</v>
          </cell>
        </row>
        <row r="493">
          <cell r="A493" t="str">
            <v>I</v>
          </cell>
        </row>
        <row r="494">
          <cell r="A494" t="str">
            <v>I</v>
          </cell>
        </row>
        <row r="495">
          <cell r="A495" t="str">
            <v>I</v>
          </cell>
        </row>
        <row r="496">
          <cell r="A496" t="str">
            <v>I</v>
          </cell>
        </row>
        <row r="497">
          <cell r="A497" t="str">
            <v>I</v>
          </cell>
        </row>
        <row r="498">
          <cell r="A498" t="str">
            <v>I</v>
          </cell>
        </row>
        <row r="499">
          <cell r="A499" t="str">
            <v>I</v>
          </cell>
        </row>
        <row r="500">
          <cell r="A500" t="str">
            <v>I</v>
          </cell>
        </row>
        <row r="501">
          <cell r="A501" t="str">
            <v>I</v>
          </cell>
        </row>
        <row r="502">
          <cell r="A502" t="str">
            <v>I</v>
          </cell>
        </row>
        <row r="503">
          <cell r="A503" t="str">
            <v>I</v>
          </cell>
        </row>
      </sheetData>
      <sheetData sheetId="1"/>
      <sheetData sheetId="2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3"/>
      <sheetData sheetId="4"/>
      <sheetData sheetId="5"/>
      <sheetData sheetId="6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7"/>
      <sheetData sheetId="8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"/>
      <sheetName val="% $ P-UTAMA"/>
      <sheetName val="REKAP"/>
      <sheetName val="KWANTITAS"/>
      <sheetName val="AGGR"/>
      <sheetName val="QUARI"/>
      <sheetName val="BASIC"/>
      <sheetName val="ALA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ON SITE"/>
      <sheetName val="ASPAL"/>
      <sheetName val="DAFTAR UPAH"/>
    </sheetNames>
    <sheetDataSet>
      <sheetData sheetId="0"/>
      <sheetData sheetId="1"/>
      <sheetData sheetId="2">
        <row r="30">
          <cell r="I30">
            <v>1996514876.95</v>
          </cell>
        </row>
      </sheetData>
      <sheetData sheetId="3"/>
      <sheetData sheetId="4"/>
      <sheetData sheetId="5"/>
      <sheetData sheetId="6"/>
      <sheetData sheetId="7">
        <row r="19">
          <cell r="Q19">
            <v>30</v>
          </cell>
        </row>
        <row r="21">
          <cell r="Q21">
            <v>800</v>
          </cell>
        </row>
        <row r="24">
          <cell r="Q24">
            <v>0.5</v>
          </cell>
        </row>
        <row r="27">
          <cell r="Q27">
            <v>8</v>
          </cell>
        </row>
        <row r="33">
          <cell r="Q33">
            <v>1.5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ANALISA"/>
      <sheetName val="UPAH"/>
    </sheetNames>
    <sheetDataSet>
      <sheetData sheetId="0"/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FE"/>
      <sheetName val="PE"/>
      <sheetName val="E-F"/>
      <sheetName val="MFC"/>
      <sheetName val="WC1"/>
      <sheetName val="WC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-BARU"/>
      <sheetName val="DSR U&amp;B(ok)"/>
      <sheetName val="Rekap Bill"/>
      <sheetName val="Bill"/>
      <sheetName val="An. Harga"/>
      <sheetName val="Uraian OK"/>
      <sheetName val="AN ALAT(ok)"/>
      <sheetName val="Daf Harga"/>
      <sheetName val="onsite"/>
      <sheetName val="BATU"/>
      <sheetName val="AMP"/>
      <sheetName val="L-9"/>
      <sheetName val="L-10"/>
      <sheetName val="Sub"/>
      <sheetName val="JDW-ALT"/>
      <sheetName val="JDW-PEK"/>
      <sheetName val="LAMP2"/>
      <sheetName val="kontrak di seleksi"/>
      <sheetName val="MPU"/>
      <sheetName val="Sp Teknis"/>
      <sheetName val="batas"/>
      <sheetName val="JDW-bahan"/>
      <sheetName val="Kebutuhan Bahan"/>
      <sheetName val="LS-Rutin"/>
      <sheetName val="DATA PEMASUKAN PENAWARAN"/>
      <sheetName val="Sheet1"/>
    </sheetNames>
    <sheetDataSet>
      <sheetData sheetId="0" refreshError="1"/>
      <sheetData sheetId="1">
        <row r="2">
          <cell r="C2" t="str">
            <v>HARGA BAHAN DASAR  DI  QUARRY</v>
          </cell>
        </row>
        <row r="4">
          <cell r="C4" t="str">
            <v>NAMA PENAWAR</v>
          </cell>
          <cell r="E4" t="str">
            <v>:</v>
          </cell>
          <cell r="F4" t="str">
            <v>PT. GAYOTAMA LEOPROPITA</v>
          </cell>
        </row>
        <row r="5">
          <cell r="C5" t="str">
            <v>SATUAN KERJA</v>
          </cell>
          <cell r="E5" t="str">
            <v>:</v>
          </cell>
          <cell r="F5" t="str">
            <v>SKS BRR-REHABILITASI DAN REKONSTRUKSI JALAN NASIONAL NAD</v>
          </cell>
        </row>
        <row r="6">
          <cell r="C6" t="str">
            <v>NAMA PAKET</v>
          </cell>
          <cell r="E6" t="str">
            <v>:</v>
          </cell>
          <cell r="F6" t="str">
            <v>REHABILITASI DAN REKONSTRUKSI JALAN TEKENGON-GENTING GERBANG-PAMEU (Transisi)</v>
          </cell>
        </row>
        <row r="7">
          <cell r="C7" t="str">
            <v>No. PAKET KONTRAK</v>
          </cell>
          <cell r="E7" t="str">
            <v>:</v>
          </cell>
          <cell r="F7" t="str">
            <v xml:space="preserve"> BRR - JN 09</v>
          </cell>
        </row>
        <row r="8">
          <cell r="C8" t="str">
            <v>PROVINSI/KAB.</v>
          </cell>
          <cell r="E8" t="str">
            <v>:</v>
          </cell>
          <cell r="F8" t="str">
            <v>NAD / ACEH TENGAH</v>
          </cell>
        </row>
        <row r="11">
          <cell r="H11" t="str">
            <v>HARGA</v>
          </cell>
          <cell r="I11" t="str">
            <v>JARAK</v>
          </cell>
          <cell r="J11">
            <v>0</v>
          </cell>
        </row>
        <row r="12">
          <cell r="C12" t="str">
            <v>NO.</v>
          </cell>
          <cell r="D12" t="str">
            <v>URAIAN</v>
          </cell>
          <cell r="G12" t="str">
            <v>SATUAN</v>
          </cell>
          <cell r="H12" t="str">
            <v>SATUAN</v>
          </cell>
          <cell r="I12" t="str">
            <v>QUARRY</v>
          </cell>
          <cell r="J12" t="str">
            <v>KETERANGAN</v>
          </cell>
        </row>
        <row r="13">
          <cell r="H13" t="str">
            <v>( Rp. )</v>
          </cell>
          <cell r="I13" t="str">
            <v>( Km )</v>
          </cell>
          <cell r="J13">
            <v>0</v>
          </cell>
        </row>
        <row r="16">
          <cell r="C16">
            <v>1</v>
          </cell>
          <cell r="D16" t="str">
            <v xml:space="preserve">   M01 - Pasir</v>
          </cell>
          <cell r="G16" t="str">
            <v>M3</v>
          </cell>
          <cell r="H16">
            <v>7250</v>
          </cell>
          <cell r="I16">
            <v>1.5</v>
          </cell>
          <cell r="J16" t="str">
            <v xml:space="preserve"> Ke Base Camp I (Stone Crusher)</v>
          </cell>
        </row>
        <row r="18">
          <cell r="C18">
            <v>2</v>
          </cell>
          <cell r="D18" t="str">
            <v xml:space="preserve">   M01.a - Pasir</v>
          </cell>
          <cell r="G18" t="str">
            <v>M3</v>
          </cell>
          <cell r="H18">
            <v>4000</v>
          </cell>
          <cell r="I18">
            <v>1.5</v>
          </cell>
          <cell r="J18" t="str">
            <v xml:space="preserve"> Ke Base Camp II (Stone Crusher)</v>
          </cell>
        </row>
        <row r="20">
          <cell r="C20">
            <v>3</v>
          </cell>
          <cell r="D20" t="str">
            <v xml:space="preserve">   M02 - Batu Kali</v>
          </cell>
          <cell r="G20" t="str">
            <v>M3</v>
          </cell>
          <cell r="H20">
            <v>7250</v>
          </cell>
          <cell r="I20">
            <v>1.5</v>
          </cell>
          <cell r="J20" t="str">
            <v xml:space="preserve"> Ke Base Camp II (Stone Crusher)</v>
          </cell>
        </row>
        <row r="22">
          <cell r="C22">
            <v>4</v>
          </cell>
          <cell r="D22" t="str">
            <v xml:space="preserve">   M06 - Batu Belah</v>
          </cell>
          <cell r="G22" t="str">
            <v>M3</v>
          </cell>
          <cell r="H22">
            <v>7250</v>
          </cell>
          <cell r="I22">
            <v>1.5</v>
          </cell>
          <cell r="J22" t="str">
            <v xml:space="preserve"> Ke Base Camp II (Stone Crusher)</v>
          </cell>
        </row>
        <row r="24">
          <cell r="C24">
            <v>5</v>
          </cell>
          <cell r="D24" t="str">
            <v xml:space="preserve">   M07 - G r a v e l</v>
          </cell>
          <cell r="G24" t="str">
            <v>M3</v>
          </cell>
          <cell r="H24">
            <v>8500</v>
          </cell>
          <cell r="I24">
            <v>1.5</v>
          </cell>
          <cell r="J24" t="str">
            <v xml:space="preserve"> Ke Base Camp I (Stone Crusher)</v>
          </cell>
        </row>
        <row r="26">
          <cell r="C26">
            <v>6</v>
          </cell>
          <cell r="D26" t="str">
            <v xml:space="preserve">   M07.a - G r a v e l</v>
          </cell>
          <cell r="G26" t="str">
            <v>M3</v>
          </cell>
          <cell r="H26">
            <v>7250</v>
          </cell>
          <cell r="I26">
            <v>1.5</v>
          </cell>
          <cell r="J26" t="str">
            <v xml:space="preserve"> Ke Base Camp II (Stone Crusher)</v>
          </cell>
        </row>
        <row r="28">
          <cell r="C28">
            <v>7</v>
          </cell>
          <cell r="D28" t="str">
            <v xml:space="preserve">   M16 - S i r t u</v>
          </cell>
          <cell r="G28" t="str">
            <v>M3</v>
          </cell>
          <cell r="H28">
            <v>7000</v>
          </cell>
          <cell r="I28">
            <v>1.5</v>
          </cell>
          <cell r="J28" t="str">
            <v xml:space="preserve"> Ke Base Camp I (Stone Crusher)</v>
          </cell>
        </row>
        <row r="30">
          <cell r="C30">
            <v>8</v>
          </cell>
          <cell r="D30" t="str">
            <v xml:space="preserve">   M16.a - S i r t u</v>
          </cell>
          <cell r="G30" t="str">
            <v>M3</v>
          </cell>
          <cell r="H30">
            <v>5000</v>
          </cell>
          <cell r="I30">
            <v>1.5</v>
          </cell>
          <cell r="J30" t="str">
            <v xml:space="preserve"> Ke Base Camp II (Stone Crusher)</v>
          </cell>
        </row>
        <row r="32">
          <cell r="C32">
            <v>9</v>
          </cell>
          <cell r="D32" t="str">
            <v xml:space="preserve">   M44 - Pasir Urug</v>
          </cell>
          <cell r="G32" t="str">
            <v>M3</v>
          </cell>
          <cell r="H32">
            <v>4000</v>
          </cell>
          <cell r="I32">
            <v>1.5</v>
          </cell>
          <cell r="J32" t="str">
            <v xml:space="preserve"> Ke Base Camp II (Stone Crusher)</v>
          </cell>
        </row>
        <row r="34">
          <cell r="C34">
            <v>10</v>
          </cell>
          <cell r="D34" t="str">
            <v xml:space="preserve">   M45 - Material Timbunan Pilihan</v>
          </cell>
          <cell r="G34" t="str">
            <v>M3</v>
          </cell>
          <cell r="H34">
            <v>5000</v>
          </cell>
          <cell r="I34">
            <v>1.5</v>
          </cell>
          <cell r="J34" t="str">
            <v xml:space="preserve"> Ke Base Camp II (Stone Crusher)</v>
          </cell>
        </row>
        <row r="38">
          <cell r="A38" t="str">
            <v>|::</v>
          </cell>
        </row>
        <row r="39">
          <cell r="C39" t="str">
            <v>LAMPIRAN</v>
          </cell>
        </row>
        <row r="40">
          <cell r="C40" t="str">
            <v>ANALISA HARGA SATUAN BAHAN DASAR</v>
          </cell>
        </row>
        <row r="42">
          <cell r="C42" t="str">
            <v>NAMA PENAWAR</v>
          </cell>
          <cell r="E42" t="str">
            <v>:</v>
          </cell>
          <cell r="F42" t="str">
            <v>PT. GAYOTAMA LEOPROPITA</v>
          </cell>
        </row>
        <row r="43">
          <cell r="C43" t="str">
            <v>SATUAN KERJA</v>
          </cell>
          <cell r="E43" t="str">
            <v>:</v>
          </cell>
          <cell r="F43" t="str">
            <v>SKS BRR-REHABILITASI DAN REKONSTRUKSI JALAN NASIONAL NAD</v>
          </cell>
        </row>
        <row r="44">
          <cell r="C44" t="str">
            <v>NAMA PAKET</v>
          </cell>
          <cell r="E44" t="str">
            <v>:</v>
          </cell>
          <cell r="F44" t="str">
            <v>REHABILITASI DAN REKONSTRUKSI JALAN TEKENGON-GENTING GERBANG-PAMEU (Transisi)</v>
          </cell>
        </row>
        <row r="45">
          <cell r="C45" t="str">
            <v>No. PAKET KONTRAK</v>
          </cell>
          <cell r="E45" t="str">
            <v>:</v>
          </cell>
          <cell r="F45" t="str">
            <v xml:space="preserve"> BRR - JN 09</v>
          </cell>
        </row>
        <row r="46">
          <cell r="C46" t="str">
            <v>PROVINSI/KAB.</v>
          </cell>
          <cell r="E46" t="str">
            <v>:</v>
          </cell>
          <cell r="F46" t="str">
            <v>NAD / ACEH TENGAH</v>
          </cell>
        </row>
        <row r="48">
          <cell r="C48" t="str">
            <v>Jenis      : M01 - Pasir</v>
          </cell>
        </row>
        <row r="49">
          <cell r="C49" t="str">
            <v>Lokasi    : Quary I (Jamur Ujung)</v>
          </cell>
        </row>
        <row r="50">
          <cell r="C50" t="str">
            <v>Tujuan   :  Base Camp  I  ( Stone Crusher)</v>
          </cell>
        </row>
        <row r="51">
          <cell r="C51" t="str">
            <v>No</v>
          </cell>
          <cell r="D51" t="str">
            <v>URAIAN</v>
          </cell>
          <cell r="H51" t="str">
            <v>KODE</v>
          </cell>
          <cell r="I51" t="str">
            <v>KOEF.</v>
          </cell>
          <cell r="J51" t="str">
            <v>SATUAN</v>
          </cell>
          <cell r="K51" t="str">
            <v>HARGA SATUAN</v>
          </cell>
        </row>
        <row r="52">
          <cell r="K52" t="str">
            <v>( Rp )</v>
          </cell>
        </row>
        <row r="53">
          <cell r="C53" t="str">
            <v>I.</v>
          </cell>
          <cell r="D53" t="str">
            <v>ASUMSI</v>
          </cell>
        </row>
        <row r="54">
          <cell r="C54">
            <v>1</v>
          </cell>
          <cell r="D54" t="str">
            <v xml:space="preserve">Menggunakan alat berat </v>
          </cell>
        </row>
        <row r="55">
          <cell r="C55">
            <v>2</v>
          </cell>
          <cell r="D55" t="str">
            <v>Kondisi existing Jalan : Kondisi Baik (Sedang)</v>
          </cell>
        </row>
        <row r="56">
          <cell r="C56">
            <v>3</v>
          </cell>
          <cell r="D56" t="str">
            <v>Jarak rata - rata Quarry Kelokasi Base Camp I (Stone Crusher)</v>
          </cell>
          <cell r="H56" t="str">
            <v>L</v>
          </cell>
          <cell r="I56">
            <v>1.5</v>
          </cell>
          <cell r="J56" t="str">
            <v>Km</v>
          </cell>
        </row>
        <row r="57">
          <cell r="C57">
            <v>4</v>
          </cell>
          <cell r="D57" t="str">
            <v>Harga Satuan Pasir di Quarry</v>
          </cell>
          <cell r="H57" t="str">
            <v>Rp M01</v>
          </cell>
          <cell r="I57">
            <v>1</v>
          </cell>
          <cell r="J57" t="str">
            <v>M3</v>
          </cell>
          <cell r="K57">
            <v>7250</v>
          </cell>
        </row>
        <row r="58">
          <cell r="C58">
            <v>5</v>
          </cell>
          <cell r="D58" t="str">
            <v>Harga Satuan Dasar Excavator</v>
          </cell>
          <cell r="H58" t="str">
            <v>Rp E10</v>
          </cell>
          <cell r="I58">
            <v>1</v>
          </cell>
          <cell r="J58" t="str">
            <v>Jam</v>
          </cell>
          <cell r="K58">
            <v>263757.56718985166</v>
          </cell>
        </row>
        <row r="59">
          <cell r="C59">
            <v>6</v>
          </cell>
          <cell r="D59" t="str">
            <v>Harga Satuan Dasar Dump Truck</v>
          </cell>
          <cell r="H59" t="str">
            <v>Rp E09a</v>
          </cell>
          <cell r="I59">
            <v>1</v>
          </cell>
          <cell r="J59" t="str">
            <v>Jam</v>
          </cell>
          <cell r="K59">
            <v>200469.3426144915</v>
          </cell>
        </row>
        <row r="61">
          <cell r="C61" t="str">
            <v>II</v>
          </cell>
          <cell r="D61" t="str">
            <v>URUTAN KERJA</v>
          </cell>
        </row>
        <row r="62">
          <cell r="C62">
            <v>1</v>
          </cell>
          <cell r="D62" t="str">
            <v>Pasir digali dengan alat Excavator dan sekaligus memuat pasir yang</v>
          </cell>
        </row>
        <row r="63">
          <cell r="D63" t="str">
            <v>di galian kedalam Dump Truck</v>
          </cell>
        </row>
        <row r="64">
          <cell r="C64">
            <v>2</v>
          </cell>
          <cell r="D64" t="str">
            <v>Dump Truck mengangkut pasir ke lokasi Base Camp I (Stone Crusher)</v>
          </cell>
        </row>
        <row r="66">
          <cell r="C66" t="str">
            <v>III</v>
          </cell>
          <cell r="D66" t="str">
            <v>PERHITUNGAN</v>
          </cell>
        </row>
        <row r="67">
          <cell r="C67">
            <v>1</v>
          </cell>
          <cell r="D67" t="str">
            <v>Excavator</v>
          </cell>
          <cell r="H67" t="str">
            <v>(E10)</v>
          </cell>
        </row>
        <row r="68">
          <cell r="D68" t="str">
            <v>Kapasitas Bucket</v>
          </cell>
          <cell r="H68" t="str">
            <v>V</v>
          </cell>
          <cell r="I68">
            <v>0.5</v>
          </cell>
          <cell r="J68" t="str">
            <v>M3</v>
          </cell>
        </row>
        <row r="69">
          <cell r="D69" t="str">
            <v>Faktor Bucket</v>
          </cell>
          <cell r="H69" t="str">
            <v>Fb</v>
          </cell>
          <cell r="I69">
            <v>0.9</v>
          </cell>
          <cell r="J69" t="str">
            <v>-</v>
          </cell>
        </row>
        <row r="70">
          <cell r="D70" t="str">
            <v>Faktor Efisiensi alat</v>
          </cell>
          <cell r="H70" t="str">
            <v>Fa</v>
          </cell>
          <cell r="I70">
            <v>0.83</v>
          </cell>
          <cell r="J70" t="str">
            <v>-</v>
          </cell>
        </row>
        <row r="71">
          <cell r="D71" t="str">
            <v>Waktu Siklus</v>
          </cell>
          <cell r="H71" t="str">
            <v>Ts1</v>
          </cell>
        </row>
        <row r="72">
          <cell r="D72" t="str">
            <v>- Menggali/Memuat</v>
          </cell>
          <cell r="H72" t="str">
            <v>T1</v>
          </cell>
          <cell r="I72">
            <v>0.5</v>
          </cell>
          <cell r="J72" t="str">
            <v>menit</v>
          </cell>
        </row>
        <row r="73">
          <cell r="D73" t="str">
            <v>- Lain-lain</v>
          </cell>
          <cell r="H73" t="str">
            <v>T2</v>
          </cell>
          <cell r="I73">
            <v>0.5</v>
          </cell>
          <cell r="J73" t="str">
            <v>menit</v>
          </cell>
        </row>
        <row r="74">
          <cell r="H74" t="str">
            <v>Ts1</v>
          </cell>
          <cell r="I74">
            <v>1</v>
          </cell>
          <cell r="J74" t="str">
            <v>menit</v>
          </cell>
        </row>
        <row r="75">
          <cell r="D75" t="str">
            <v>Kapasitas Produksi / jam</v>
          </cell>
          <cell r="F75" t="str">
            <v>V x Fb x Fa x 60</v>
          </cell>
          <cell r="H75" t="str">
            <v>Q1</v>
          </cell>
          <cell r="I75">
            <v>22.41</v>
          </cell>
          <cell r="J75" t="str">
            <v>M3/Jam</v>
          </cell>
        </row>
        <row r="76">
          <cell r="F76" t="str">
            <v>Ts1</v>
          </cell>
        </row>
        <row r="77">
          <cell r="D77" t="str">
            <v>Biaya Excavator / M3</v>
          </cell>
          <cell r="F77" t="str">
            <v>= (1 : Q1 ) x RpE10</v>
          </cell>
          <cell r="H77" t="str">
            <v>^Rp1</v>
          </cell>
          <cell r="I77">
            <v>11769.637090131711</v>
          </cell>
          <cell r="J77" t="str">
            <v>Rupiah</v>
          </cell>
        </row>
        <row r="79">
          <cell r="C79">
            <v>2</v>
          </cell>
          <cell r="D79" t="str">
            <v>Dump Truck</v>
          </cell>
          <cell r="H79" t="str">
            <v>(E09a)</v>
          </cell>
        </row>
        <row r="80">
          <cell r="D80" t="str">
            <v>Kapsitas Bak</v>
          </cell>
          <cell r="H80" t="str">
            <v>V</v>
          </cell>
          <cell r="I80">
            <v>12</v>
          </cell>
          <cell r="J80" t="str">
            <v>M3</v>
          </cell>
        </row>
        <row r="81">
          <cell r="D81" t="str">
            <v>Faktor efesiaensi alat</v>
          </cell>
          <cell r="H81" t="str">
            <v>Fa</v>
          </cell>
          <cell r="I81">
            <v>0.83</v>
          </cell>
          <cell r="J81" t="str">
            <v>-</v>
          </cell>
        </row>
        <row r="82">
          <cell r="D82" t="str">
            <v>Kecepatan Rata-rata Bermuatan</v>
          </cell>
          <cell r="H82" t="str">
            <v>v1</v>
          </cell>
          <cell r="I82">
            <v>15</v>
          </cell>
          <cell r="J82" t="str">
            <v>Km/Jam</v>
          </cell>
        </row>
        <row r="83">
          <cell r="D83" t="str">
            <v>Kecepatan Rata-rata Kosong</v>
          </cell>
          <cell r="H83" t="str">
            <v>v2</v>
          </cell>
          <cell r="I83">
            <v>30</v>
          </cell>
          <cell r="J83" t="str">
            <v>Km/Jam</v>
          </cell>
        </row>
        <row r="84">
          <cell r="D84" t="str">
            <v>Waktu Siklus</v>
          </cell>
          <cell r="H84" t="str">
            <v>Ts2</v>
          </cell>
          <cell r="J84" t="str">
            <v>Menit</v>
          </cell>
        </row>
        <row r="85">
          <cell r="D85" t="str">
            <v>- Waktu Tempuh isi</v>
          </cell>
          <cell r="F85" t="str">
            <v>= ( L/v1 ) x 60</v>
          </cell>
          <cell r="H85" t="str">
            <v>T1</v>
          </cell>
          <cell r="I85">
            <v>6</v>
          </cell>
          <cell r="J85" t="str">
            <v>Menit</v>
          </cell>
        </row>
        <row r="86">
          <cell r="D86" t="str">
            <v>- Waktu Tempuh Kosong</v>
          </cell>
          <cell r="F86" t="str">
            <v>= ( L/v2 ) x 60</v>
          </cell>
          <cell r="H86" t="str">
            <v>T2</v>
          </cell>
          <cell r="I86">
            <v>3</v>
          </cell>
          <cell r="J86" t="str">
            <v>Menit</v>
          </cell>
        </row>
        <row r="87">
          <cell r="D87" t="str">
            <v>- Muat</v>
          </cell>
          <cell r="F87" t="str">
            <v>= ( V/Q1 ) x 60</v>
          </cell>
          <cell r="H87" t="str">
            <v>T3</v>
          </cell>
          <cell r="I87">
            <v>32.128514056224901</v>
          </cell>
        </row>
        <row r="88">
          <cell r="D88" t="str">
            <v>- Lain - lain</v>
          </cell>
          <cell r="H88" t="str">
            <v>T4</v>
          </cell>
          <cell r="I88">
            <v>1</v>
          </cell>
          <cell r="J88" t="str">
            <v>Menit</v>
          </cell>
        </row>
        <row r="89">
          <cell r="H89" t="str">
            <v>Ts2</v>
          </cell>
          <cell r="I89">
            <v>42.128514056224901</v>
          </cell>
        </row>
        <row r="90">
          <cell r="D90" t="str">
            <v>Kapasitas Produksi / jam</v>
          </cell>
          <cell r="F90" t="str">
            <v>V x Fa x 60</v>
          </cell>
          <cell r="H90" t="str">
            <v>Q2</v>
          </cell>
          <cell r="I90">
            <v>14.185166825548139</v>
          </cell>
          <cell r="J90" t="str">
            <v>M3/Jam</v>
          </cell>
        </row>
        <row r="91">
          <cell r="F91" t="str">
            <v>Ts2</v>
          </cell>
        </row>
        <row r="92">
          <cell r="D92" t="str">
            <v>Biaya Dump Truck / M3</v>
          </cell>
          <cell r="F92" t="str">
            <v>= (1 : Q2 ) x RpE08</v>
          </cell>
          <cell r="H92" t="str">
            <v>^Rp2</v>
          </cell>
          <cell r="I92">
            <v>14132.32181756488</v>
          </cell>
          <cell r="J92" t="str">
            <v>Rupiah</v>
          </cell>
        </row>
        <row r="94">
          <cell r="C94" t="str">
            <v>IV</v>
          </cell>
          <cell r="D94" t="str">
            <v>HARGA SATUAN DASAR BAHAN</v>
          </cell>
        </row>
        <row r="95">
          <cell r="D95" t="str">
            <v>Harga Satuan Dasar Pasir</v>
          </cell>
          <cell r="F95" t="str">
            <v>= ( Rp M01 + Rp1 + Rp2 )</v>
          </cell>
          <cell r="H95" t="str">
            <v>M01</v>
          </cell>
          <cell r="I95">
            <v>33151.958907696593</v>
          </cell>
          <cell r="J95" t="str">
            <v>Rupiah</v>
          </cell>
        </row>
        <row r="97">
          <cell r="D97" t="str">
            <v>Dibulatkan</v>
          </cell>
          <cell r="H97" t="str">
            <v>M01</v>
          </cell>
          <cell r="I97">
            <v>33200</v>
          </cell>
          <cell r="J97" t="str">
            <v>Rupiah</v>
          </cell>
        </row>
        <row r="100">
          <cell r="A100" t="str">
            <v>|::</v>
          </cell>
        </row>
        <row r="101">
          <cell r="C101" t="str">
            <v>Jenis      : M01.a - Pasir</v>
          </cell>
        </row>
        <row r="102">
          <cell r="C102" t="str">
            <v>Lokasi    : Quarry II (Genting Gerbang)</v>
          </cell>
        </row>
        <row r="103">
          <cell r="C103" t="str">
            <v>Tujuan   :  Base Camp  II  ( Stone Crusher)</v>
          </cell>
        </row>
        <row r="104">
          <cell r="C104" t="str">
            <v>No</v>
          </cell>
          <cell r="D104" t="str">
            <v>URAIAN</v>
          </cell>
          <cell r="H104" t="str">
            <v>KODE</v>
          </cell>
          <cell r="I104" t="str">
            <v>KOEF.</v>
          </cell>
          <cell r="J104" t="str">
            <v>SATUAN</v>
          </cell>
          <cell r="K104" t="str">
            <v>HARGA SATUAN</v>
          </cell>
        </row>
        <row r="105">
          <cell r="K105" t="str">
            <v>( Rp )</v>
          </cell>
        </row>
        <row r="106">
          <cell r="C106" t="str">
            <v>I.</v>
          </cell>
          <cell r="D106" t="str">
            <v>ASUMSI</v>
          </cell>
        </row>
        <row r="107">
          <cell r="C107">
            <v>1</v>
          </cell>
          <cell r="D107" t="str">
            <v xml:space="preserve">Menggunakan alat berat </v>
          </cell>
        </row>
        <row r="108">
          <cell r="C108">
            <v>2</v>
          </cell>
          <cell r="D108" t="str">
            <v>Kondisi existing Jalan : Kondisi Baik (Sedang)</v>
          </cell>
        </row>
        <row r="109">
          <cell r="C109">
            <v>3</v>
          </cell>
          <cell r="D109" t="str">
            <v>Jarak rata - rata Quarry Kelokasi Base Camp II (Stone Crusher)</v>
          </cell>
          <cell r="H109" t="str">
            <v>L</v>
          </cell>
          <cell r="I109">
            <v>1</v>
          </cell>
          <cell r="J109" t="str">
            <v>Km</v>
          </cell>
        </row>
        <row r="110">
          <cell r="C110">
            <v>4</v>
          </cell>
          <cell r="D110" t="str">
            <v>Harga Satuan Pasir di Quarry</v>
          </cell>
          <cell r="H110" t="str">
            <v>Rp M01</v>
          </cell>
          <cell r="I110">
            <v>1</v>
          </cell>
          <cell r="J110" t="str">
            <v>M3</v>
          </cell>
          <cell r="K110">
            <v>4000</v>
          </cell>
        </row>
        <row r="111">
          <cell r="C111">
            <v>5</v>
          </cell>
          <cell r="D111" t="str">
            <v>Harga Satuan Dasar Excavator</v>
          </cell>
          <cell r="H111" t="str">
            <v>Rp E10</v>
          </cell>
          <cell r="I111">
            <v>1</v>
          </cell>
          <cell r="J111" t="str">
            <v>Jam</v>
          </cell>
          <cell r="K111">
            <v>263757.56718985166</v>
          </cell>
        </row>
        <row r="112">
          <cell r="C112">
            <v>6</v>
          </cell>
          <cell r="D112" t="str">
            <v>Harga Satuan Dasar Dump Truck</v>
          </cell>
          <cell r="H112" t="str">
            <v>Rp E09a</v>
          </cell>
          <cell r="I112">
            <v>1</v>
          </cell>
          <cell r="J112" t="str">
            <v>Jam</v>
          </cell>
          <cell r="K112">
            <v>200469.3426144915</v>
          </cell>
        </row>
        <row r="114">
          <cell r="C114" t="str">
            <v>II</v>
          </cell>
          <cell r="D114" t="str">
            <v>URUTAN KERJA</v>
          </cell>
        </row>
        <row r="115">
          <cell r="C115">
            <v>1</v>
          </cell>
          <cell r="D115" t="str">
            <v>Pasir digali dengan alat Excavator dan sekaligus memuat pasir yang</v>
          </cell>
        </row>
        <row r="116">
          <cell r="D116" t="str">
            <v>di galian kedalam Dump Truck</v>
          </cell>
        </row>
        <row r="117">
          <cell r="C117">
            <v>2</v>
          </cell>
          <cell r="D117" t="str">
            <v>Dump Truck mengangkut pasir ke lokasi Base Camp I (Stone Crusher)</v>
          </cell>
        </row>
        <row r="119">
          <cell r="C119" t="str">
            <v>III</v>
          </cell>
          <cell r="D119" t="str">
            <v>PERHITUNGAN</v>
          </cell>
        </row>
        <row r="120">
          <cell r="C120">
            <v>1</v>
          </cell>
          <cell r="D120" t="str">
            <v>Excavator</v>
          </cell>
          <cell r="H120" t="str">
            <v>(E10)</v>
          </cell>
        </row>
        <row r="121">
          <cell r="D121" t="str">
            <v>Kapasitas Bucket</v>
          </cell>
          <cell r="H121" t="str">
            <v>V</v>
          </cell>
          <cell r="I121">
            <v>0.5</v>
          </cell>
          <cell r="J121" t="str">
            <v>M3</v>
          </cell>
        </row>
        <row r="122">
          <cell r="D122" t="str">
            <v>Faktor Bucket</v>
          </cell>
          <cell r="H122" t="str">
            <v>Fb</v>
          </cell>
          <cell r="I122">
            <v>0.9</v>
          </cell>
          <cell r="J122" t="str">
            <v>-</v>
          </cell>
        </row>
        <row r="123">
          <cell r="D123" t="str">
            <v>Faktor Efisiensi alat</v>
          </cell>
          <cell r="H123" t="str">
            <v>Fa</v>
          </cell>
          <cell r="I123">
            <v>0.83</v>
          </cell>
          <cell r="J123" t="str">
            <v>-</v>
          </cell>
        </row>
        <row r="124">
          <cell r="D124" t="str">
            <v>Waktu Siklus</v>
          </cell>
          <cell r="H124" t="str">
            <v>Ts1</v>
          </cell>
        </row>
        <row r="125">
          <cell r="D125" t="str">
            <v>- Menggali/Memuat</v>
          </cell>
          <cell r="H125" t="str">
            <v>T1</v>
          </cell>
          <cell r="I125">
            <v>0.5</v>
          </cell>
          <cell r="J125" t="str">
            <v>menit</v>
          </cell>
        </row>
        <row r="126">
          <cell r="D126" t="str">
            <v>- Lain-lain</v>
          </cell>
          <cell r="H126" t="str">
            <v>T2</v>
          </cell>
          <cell r="I126">
            <v>0.5</v>
          </cell>
          <cell r="J126" t="str">
            <v>menit</v>
          </cell>
        </row>
        <row r="127">
          <cell r="H127" t="str">
            <v>Ts1</v>
          </cell>
          <cell r="I127">
            <v>1</v>
          </cell>
          <cell r="J127" t="str">
            <v>menit</v>
          </cell>
        </row>
        <row r="128">
          <cell r="D128" t="str">
            <v>Kapasitas Produksi / jam</v>
          </cell>
          <cell r="F128" t="str">
            <v>V x Fb x Fa x 60</v>
          </cell>
          <cell r="H128" t="str">
            <v>Q1</v>
          </cell>
          <cell r="I128">
            <v>22.41</v>
          </cell>
          <cell r="J128" t="str">
            <v>M3/Jam</v>
          </cell>
        </row>
        <row r="129">
          <cell r="F129" t="str">
            <v>Ts1</v>
          </cell>
        </row>
        <row r="130">
          <cell r="D130" t="str">
            <v>Biaya Excavator / M3</v>
          </cell>
          <cell r="F130" t="str">
            <v>= (1 : Q1 ) x RpE10</v>
          </cell>
          <cell r="H130" t="str">
            <v>^Rp1</v>
          </cell>
          <cell r="I130">
            <v>6769.6370901317114</v>
          </cell>
          <cell r="J130" t="str">
            <v>Rupiah</v>
          </cell>
        </row>
        <row r="132">
          <cell r="C132">
            <v>2</v>
          </cell>
          <cell r="D132" t="str">
            <v>Dump Truck</v>
          </cell>
          <cell r="H132" t="str">
            <v>(E09a)</v>
          </cell>
        </row>
        <row r="133">
          <cell r="D133" t="str">
            <v>Kapsitas Bak</v>
          </cell>
          <cell r="H133" t="str">
            <v>V</v>
          </cell>
          <cell r="I133">
            <v>12</v>
          </cell>
          <cell r="J133" t="str">
            <v>M3</v>
          </cell>
        </row>
        <row r="134">
          <cell r="D134" t="str">
            <v>Faktor efesiaensi alat</v>
          </cell>
          <cell r="H134" t="str">
            <v>Fa</v>
          </cell>
          <cell r="I134">
            <v>0.83</v>
          </cell>
          <cell r="J134" t="str">
            <v>-</v>
          </cell>
        </row>
        <row r="135">
          <cell r="D135" t="str">
            <v>Kecepatan Rata-rata Bermuatan</v>
          </cell>
          <cell r="H135" t="str">
            <v>v1</v>
          </cell>
          <cell r="I135">
            <v>15</v>
          </cell>
          <cell r="J135" t="str">
            <v>Km/Jam</v>
          </cell>
        </row>
        <row r="136">
          <cell r="D136" t="str">
            <v>Kecepatan Rata-rata Kosong</v>
          </cell>
          <cell r="H136" t="str">
            <v>v2</v>
          </cell>
          <cell r="I136">
            <v>30</v>
          </cell>
          <cell r="J136" t="str">
            <v>Km/Jam</v>
          </cell>
        </row>
        <row r="137">
          <cell r="D137" t="str">
            <v>Waktu Siklus</v>
          </cell>
          <cell r="H137" t="str">
            <v>Ts2</v>
          </cell>
          <cell r="J137" t="str">
            <v>Menit</v>
          </cell>
        </row>
        <row r="138">
          <cell r="D138" t="str">
            <v>- Waktu Tempuh isi</v>
          </cell>
          <cell r="F138" t="str">
            <v>= ( L/v1 ) x 60</v>
          </cell>
          <cell r="H138" t="str">
            <v>T1</v>
          </cell>
          <cell r="I138">
            <v>4</v>
          </cell>
          <cell r="J138" t="str">
            <v>Menit</v>
          </cell>
        </row>
        <row r="139">
          <cell r="D139" t="str">
            <v>- Waktu Tempuh Kosong</v>
          </cell>
          <cell r="F139" t="str">
            <v>= ( L/v2 ) x 60</v>
          </cell>
          <cell r="H139" t="str">
            <v>T2</v>
          </cell>
          <cell r="I139">
            <v>2</v>
          </cell>
          <cell r="J139" t="str">
            <v>Menit</v>
          </cell>
        </row>
        <row r="140">
          <cell r="D140" t="str">
            <v>- Muat</v>
          </cell>
          <cell r="F140" t="str">
            <v>= ( V/Q1 ) x 60</v>
          </cell>
          <cell r="H140" t="str">
            <v>T3</v>
          </cell>
          <cell r="I140">
            <v>32.128514056224901</v>
          </cell>
        </row>
        <row r="141">
          <cell r="D141" t="str">
            <v>- Lain - lain</v>
          </cell>
          <cell r="H141" t="str">
            <v>T4</v>
          </cell>
          <cell r="I141">
            <v>1</v>
          </cell>
          <cell r="J141" t="str">
            <v>Menit</v>
          </cell>
        </row>
        <row r="142">
          <cell r="H142" t="str">
            <v>Ts2</v>
          </cell>
          <cell r="I142">
            <v>39.128514056224901</v>
          </cell>
        </row>
        <row r="143">
          <cell r="D143" t="str">
            <v>Kapasitas Produksi / jam</v>
          </cell>
          <cell r="F143" t="str">
            <v>V x Fa x 60</v>
          </cell>
          <cell r="H143" t="str">
            <v>Q2</v>
          </cell>
          <cell r="I143">
            <v>15.272749666427176</v>
          </cell>
          <cell r="J143" t="str">
            <v>M3/Jam</v>
          </cell>
        </row>
        <row r="144">
          <cell r="F144" t="str">
            <v>Ts2</v>
          </cell>
        </row>
        <row r="145">
          <cell r="D145" t="str">
            <v>Biaya Dump Truck / M3</v>
          </cell>
          <cell r="F145" t="str">
            <v>= (1 : Q2 ) x RpE08</v>
          </cell>
          <cell r="H145" t="str">
            <v>^Rp2</v>
          </cell>
          <cell r="I145">
            <v>8125.9496156849018</v>
          </cell>
          <cell r="J145" t="str">
            <v>Rupiah</v>
          </cell>
        </row>
        <row r="147">
          <cell r="C147" t="str">
            <v>IV</v>
          </cell>
          <cell r="D147" t="str">
            <v>HARGA SATUAN DASAR BAHAN</v>
          </cell>
        </row>
        <row r="148">
          <cell r="D148" t="str">
            <v>Harga Satuan Dasar Pasir</v>
          </cell>
          <cell r="F148" t="str">
            <v>= ( Rp M01 + Rp1 + Rp2 )</v>
          </cell>
          <cell r="H148" t="str">
            <v>M01</v>
          </cell>
          <cell r="I148">
            <v>18895.586705816611</v>
          </cell>
          <cell r="J148" t="str">
            <v>Rupiah</v>
          </cell>
        </row>
        <row r="150">
          <cell r="D150" t="str">
            <v>Dibulatkan</v>
          </cell>
          <cell r="H150" t="str">
            <v>M01</v>
          </cell>
          <cell r="I150">
            <v>18900</v>
          </cell>
          <cell r="J150" t="str">
            <v>Rupiah</v>
          </cell>
        </row>
        <row r="153">
          <cell r="A153" t="str">
            <v>|::</v>
          </cell>
        </row>
        <row r="154">
          <cell r="C154" t="str">
            <v>Jenis      : M02 - Batu Kali</v>
          </cell>
        </row>
        <row r="155">
          <cell r="C155" t="str">
            <v>Lokasi    : Quarry II (Genting Gerbang)</v>
          </cell>
        </row>
        <row r="156">
          <cell r="C156" t="str">
            <v>Tujuan   : Lokasi Pekerjaan</v>
          </cell>
        </row>
        <row r="157">
          <cell r="C157" t="str">
            <v>No</v>
          </cell>
          <cell r="D157" t="str">
            <v>URAIAN</v>
          </cell>
          <cell r="H157" t="str">
            <v>KODE</v>
          </cell>
          <cell r="I157" t="str">
            <v>KOEF.</v>
          </cell>
          <cell r="J157" t="str">
            <v>SATUAN</v>
          </cell>
          <cell r="K157" t="str">
            <v>HARGA SATUAN</v>
          </cell>
        </row>
        <row r="158">
          <cell r="K158" t="str">
            <v>( Rp )</v>
          </cell>
        </row>
        <row r="159">
          <cell r="C159" t="str">
            <v>I.</v>
          </cell>
          <cell r="D159" t="str">
            <v>ASUMSI</v>
          </cell>
        </row>
        <row r="160">
          <cell r="C160">
            <v>1</v>
          </cell>
          <cell r="D160" t="str">
            <v xml:space="preserve">Menggunakan alat berat </v>
          </cell>
        </row>
        <row r="161">
          <cell r="C161">
            <v>2</v>
          </cell>
          <cell r="D161" t="str">
            <v>Kondisi existing Jalan : Kondisi Baik (Sedang)</v>
          </cell>
        </row>
        <row r="162">
          <cell r="C162">
            <v>3</v>
          </cell>
          <cell r="D162" t="str">
            <v>Jarak rata - rata Quarry ke Lokasi Pekerjaan</v>
          </cell>
          <cell r="H162" t="str">
            <v>L</v>
          </cell>
          <cell r="I162">
            <v>1.5</v>
          </cell>
          <cell r="J162" t="str">
            <v>Km</v>
          </cell>
        </row>
        <row r="163">
          <cell r="C163">
            <v>4</v>
          </cell>
          <cell r="D163" t="str">
            <v>Harga Satuan Batu Kali di Quarry</v>
          </cell>
          <cell r="H163" t="str">
            <v>Rp M02</v>
          </cell>
          <cell r="I163">
            <v>1</v>
          </cell>
          <cell r="J163" t="str">
            <v>M3</v>
          </cell>
          <cell r="K163">
            <v>7250</v>
          </cell>
        </row>
        <row r="164">
          <cell r="C164">
            <v>5</v>
          </cell>
          <cell r="D164" t="str">
            <v>Harga Satuan Dasar Excavator</v>
          </cell>
          <cell r="H164" t="str">
            <v>Rp E10</v>
          </cell>
          <cell r="I164">
            <v>1</v>
          </cell>
          <cell r="J164" t="str">
            <v>Jam</v>
          </cell>
          <cell r="K164">
            <v>263757.56718985166</v>
          </cell>
        </row>
        <row r="165">
          <cell r="C165">
            <v>6</v>
          </cell>
          <cell r="D165" t="str">
            <v>Harga Satuan Dasar Dump Truck</v>
          </cell>
          <cell r="H165" t="str">
            <v>Rp E09a</v>
          </cell>
          <cell r="I165">
            <v>1</v>
          </cell>
          <cell r="J165" t="str">
            <v>Jam</v>
          </cell>
          <cell r="K165">
            <v>200469.3426144915</v>
          </cell>
        </row>
        <row r="167">
          <cell r="C167" t="str">
            <v>II</v>
          </cell>
          <cell r="D167" t="str">
            <v>URUTAN KERJA</v>
          </cell>
        </row>
        <row r="168">
          <cell r="C168">
            <v>1</v>
          </cell>
          <cell r="D168" t="str">
            <v>Pasir digali dengan alat Excavator dan sekaligus memuat pasir yang</v>
          </cell>
        </row>
        <row r="169">
          <cell r="D169" t="str">
            <v>di galian kedalam Dump Truck</v>
          </cell>
        </row>
        <row r="170">
          <cell r="C170">
            <v>2</v>
          </cell>
          <cell r="D170" t="str">
            <v>Dump Truck mengangkut pasir ke lokasi Base Camp II (dua)</v>
          </cell>
        </row>
        <row r="172">
          <cell r="C172" t="str">
            <v>III</v>
          </cell>
          <cell r="D172" t="str">
            <v>PERHITUNGAN</v>
          </cell>
        </row>
        <row r="173">
          <cell r="C173">
            <v>1</v>
          </cell>
          <cell r="D173" t="str">
            <v>Excavator</v>
          </cell>
          <cell r="H173" t="str">
            <v>(E10)</v>
          </cell>
        </row>
        <row r="174">
          <cell r="D174" t="str">
            <v>Kapasitas Bucket</v>
          </cell>
          <cell r="H174" t="str">
            <v>V</v>
          </cell>
          <cell r="I174">
            <v>0.5</v>
          </cell>
          <cell r="J174" t="str">
            <v>M3</v>
          </cell>
        </row>
        <row r="175">
          <cell r="D175" t="str">
            <v>Faktor Bucket</v>
          </cell>
          <cell r="H175" t="str">
            <v>Fb</v>
          </cell>
          <cell r="I175">
            <v>0.75</v>
          </cell>
          <cell r="J175" t="str">
            <v>-</v>
          </cell>
        </row>
        <row r="176">
          <cell r="D176" t="str">
            <v>Faktor Efisiensi alat</v>
          </cell>
          <cell r="H176" t="str">
            <v>Fa</v>
          </cell>
          <cell r="I176">
            <v>0.83</v>
          </cell>
          <cell r="J176" t="str">
            <v>-</v>
          </cell>
        </row>
        <row r="177">
          <cell r="D177" t="str">
            <v>Waktu Siklus</v>
          </cell>
          <cell r="H177" t="str">
            <v>Ts1</v>
          </cell>
        </row>
        <row r="178">
          <cell r="D178" t="str">
            <v>- Menggali/Memuat</v>
          </cell>
          <cell r="H178" t="str">
            <v>T1</v>
          </cell>
          <cell r="I178">
            <v>0.75</v>
          </cell>
          <cell r="J178" t="str">
            <v>menit</v>
          </cell>
        </row>
        <row r="179">
          <cell r="D179" t="str">
            <v>- Lain-lain</v>
          </cell>
          <cell r="H179" t="str">
            <v>T2</v>
          </cell>
          <cell r="I179">
            <v>0.5</v>
          </cell>
          <cell r="J179" t="str">
            <v>menit</v>
          </cell>
        </row>
        <row r="180">
          <cell r="H180" t="str">
            <v>Ts1</v>
          </cell>
          <cell r="I180">
            <v>1.25</v>
          </cell>
          <cell r="J180" t="str">
            <v>menit</v>
          </cell>
        </row>
        <row r="181">
          <cell r="D181" t="str">
            <v>Kapasitas Produksi / jam</v>
          </cell>
          <cell r="F181" t="str">
            <v>V x Fb x Fa x 60</v>
          </cell>
          <cell r="H181" t="str">
            <v>Q1</v>
          </cell>
          <cell r="I181">
            <v>14.939999999999998</v>
          </cell>
          <cell r="J181" t="str">
            <v>M3/Jam</v>
          </cell>
        </row>
        <row r="182">
          <cell r="F182" t="str">
            <v>Ts1</v>
          </cell>
        </row>
        <row r="183">
          <cell r="D183" t="str">
            <v>Biaya Excavator / M3</v>
          </cell>
          <cell r="F183" t="str">
            <v>= (1 : Q1 ) x RpE10</v>
          </cell>
          <cell r="H183" t="str">
            <v>^Rp1</v>
          </cell>
          <cell r="I183">
            <v>17654.45563519757</v>
          </cell>
          <cell r="J183" t="str">
            <v>Rupiah</v>
          </cell>
        </row>
        <row r="185">
          <cell r="C185">
            <v>2</v>
          </cell>
          <cell r="D185" t="str">
            <v>Dump Truck</v>
          </cell>
          <cell r="H185" t="str">
            <v>(E09a)</v>
          </cell>
        </row>
        <row r="186">
          <cell r="D186" t="str">
            <v>Kapsitas Bak</v>
          </cell>
          <cell r="H186" t="str">
            <v>V</v>
          </cell>
          <cell r="I186">
            <v>12</v>
          </cell>
          <cell r="J186" t="str">
            <v>M3</v>
          </cell>
        </row>
        <row r="187">
          <cell r="D187" t="str">
            <v>Faktor efesiaensi alat</v>
          </cell>
          <cell r="H187" t="str">
            <v>Fa</v>
          </cell>
          <cell r="I187">
            <v>0.83</v>
          </cell>
          <cell r="J187" t="str">
            <v>-</v>
          </cell>
        </row>
        <row r="188">
          <cell r="D188" t="str">
            <v>Kecepatan Rata-rata Bermuatan</v>
          </cell>
          <cell r="H188" t="str">
            <v>v1</v>
          </cell>
          <cell r="I188">
            <v>15</v>
          </cell>
          <cell r="J188" t="str">
            <v>Km/Jam</v>
          </cell>
        </row>
        <row r="189">
          <cell r="D189" t="str">
            <v>Kecepatan Rata-rata Kosong</v>
          </cell>
          <cell r="H189" t="str">
            <v>v2</v>
          </cell>
          <cell r="I189">
            <v>30</v>
          </cell>
          <cell r="J189" t="str">
            <v>Km/Jam</v>
          </cell>
        </row>
        <row r="190">
          <cell r="D190" t="str">
            <v>Waktu Siklus</v>
          </cell>
          <cell r="H190" t="str">
            <v>Ts2</v>
          </cell>
          <cell r="J190" t="str">
            <v>Menit</v>
          </cell>
        </row>
        <row r="191">
          <cell r="D191" t="str">
            <v>- Waktu Tempuh isi</v>
          </cell>
          <cell r="F191" t="str">
            <v>= ( L/v1 ) x 60</v>
          </cell>
          <cell r="H191" t="str">
            <v>T1</v>
          </cell>
          <cell r="I191">
            <v>6</v>
          </cell>
          <cell r="J191" t="str">
            <v>Menit</v>
          </cell>
        </row>
        <row r="192">
          <cell r="D192" t="str">
            <v>- Waktu Tempuh Kosong</v>
          </cell>
          <cell r="F192" t="str">
            <v>= ( L/v2 ) x 60</v>
          </cell>
          <cell r="H192" t="str">
            <v>T2</v>
          </cell>
          <cell r="I192">
            <v>3</v>
          </cell>
          <cell r="J192" t="str">
            <v>Menit</v>
          </cell>
        </row>
        <row r="193">
          <cell r="D193" t="str">
            <v>- Muat</v>
          </cell>
          <cell r="F193" t="str">
            <v>= ( V/Q1 ) x 60</v>
          </cell>
          <cell r="H193" t="str">
            <v>T3</v>
          </cell>
          <cell r="I193">
            <v>48.192771084337359</v>
          </cell>
        </row>
        <row r="194">
          <cell r="D194" t="str">
            <v>- Lain - lain</v>
          </cell>
          <cell r="H194" t="str">
            <v>T4</v>
          </cell>
          <cell r="I194">
            <v>1</v>
          </cell>
          <cell r="J194" t="str">
            <v>Menit</v>
          </cell>
        </row>
        <row r="195">
          <cell r="H195" t="str">
            <v>Ts2</v>
          </cell>
          <cell r="I195">
            <v>58.192771084337359</v>
          </cell>
        </row>
        <row r="196">
          <cell r="D196" t="str">
            <v>Kapasitas Produksi / jam</v>
          </cell>
          <cell r="E196" t="str">
            <v>=</v>
          </cell>
          <cell r="F196" t="str">
            <v>V x Fa x 60</v>
          </cell>
          <cell r="H196" t="str">
            <v>Q2</v>
          </cell>
          <cell r="I196">
            <v>10.269316770186332</v>
          </cell>
          <cell r="J196" t="str">
            <v>M3/Jam</v>
          </cell>
        </row>
        <row r="197">
          <cell r="F197" t="str">
            <v>Ts2</v>
          </cell>
        </row>
        <row r="198">
          <cell r="D198" t="str">
            <v>Biaya Dump Truck / M3</v>
          </cell>
          <cell r="F198" t="str">
            <v>= (1 : Q2 ) x RpE08</v>
          </cell>
          <cell r="H198" t="str">
            <v>^Rp2</v>
          </cell>
          <cell r="I198">
            <v>19521.195723214027</v>
          </cell>
          <cell r="J198" t="str">
            <v>Rupiah</v>
          </cell>
        </row>
        <row r="200">
          <cell r="C200" t="str">
            <v>IV</v>
          </cell>
          <cell r="D200" t="str">
            <v>HARGA SATUAN DASAR BAHAN</v>
          </cell>
        </row>
        <row r="201">
          <cell r="D201" t="str">
            <v>Harga Satuan Dasar Batu Kali</v>
          </cell>
          <cell r="F201" t="str">
            <v>= ( Rp M02 + Rp1 + Rp2 )</v>
          </cell>
          <cell r="H201" t="str">
            <v>M02</v>
          </cell>
          <cell r="I201">
            <v>44425.651358411596</v>
          </cell>
          <cell r="J201" t="str">
            <v>Rupiah</v>
          </cell>
        </row>
        <row r="203">
          <cell r="D203" t="str">
            <v>Dibulatkan</v>
          </cell>
          <cell r="H203" t="str">
            <v>M02</v>
          </cell>
          <cell r="I203">
            <v>44400</v>
          </cell>
          <cell r="J203" t="str">
            <v>Rupiah</v>
          </cell>
        </row>
        <row r="207">
          <cell r="A207" t="str">
            <v>|::</v>
          </cell>
        </row>
        <row r="208">
          <cell r="C208" t="str">
            <v>Jenis      : M06 - Batu Belah</v>
          </cell>
        </row>
        <row r="209">
          <cell r="C209" t="str">
            <v>Lokasi    : Quarry II (Genting Gerbang)</v>
          </cell>
        </row>
        <row r="210">
          <cell r="C210" t="str">
            <v>Tujuan   : Lokasi Pekerjaan</v>
          </cell>
        </row>
        <row r="211">
          <cell r="C211" t="str">
            <v>No</v>
          </cell>
          <cell r="D211" t="str">
            <v>URAIAN</v>
          </cell>
          <cell r="H211" t="str">
            <v>KODE</v>
          </cell>
          <cell r="I211" t="str">
            <v>KOEF.</v>
          </cell>
          <cell r="J211" t="str">
            <v>SATUAN</v>
          </cell>
          <cell r="K211" t="str">
            <v>HARGA SATUAN</v>
          </cell>
        </row>
        <row r="212">
          <cell r="K212" t="str">
            <v>( Rp )</v>
          </cell>
        </row>
        <row r="213">
          <cell r="C213" t="str">
            <v>I.</v>
          </cell>
          <cell r="D213" t="str">
            <v>ASUMSI</v>
          </cell>
        </row>
        <row r="214">
          <cell r="C214">
            <v>1</v>
          </cell>
          <cell r="D214" t="str">
            <v xml:space="preserve">Menggunakan alat berat </v>
          </cell>
        </row>
        <row r="215">
          <cell r="C215">
            <v>2</v>
          </cell>
          <cell r="D215" t="str">
            <v>Kondisi existing Jalan : Kondisi Baik (Sedang)</v>
          </cell>
        </row>
        <row r="216">
          <cell r="C216">
            <v>3</v>
          </cell>
          <cell r="D216" t="str">
            <v>Jarak rata - rata Quarry ke Lokasi Pekerjaan</v>
          </cell>
          <cell r="H216" t="str">
            <v>L</v>
          </cell>
          <cell r="I216">
            <v>1.5</v>
          </cell>
          <cell r="J216" t="str">
            <v>Km</v>
          </cell>
        </row>
        <row r="217">
          <cell r="C217">
            <v>4</v>
          </cell>
          <cell r="D217" t="str">
            <v>Harga Satuan Batu Kali di Quarry</v>
          </cell>
          <cell r="H217" t="str">
            <v>Rp M06</v>
          </cell>
          <cell r="I217">
            <v>1</v>
          </cell>
          <cell r="J217" t="str">
            <v>M3</v>
          </cell>
          <cell r="K217">
            <v>7250</v>
          </cell>
        </row>
        <row r="218">
          <cell r="C218">
            <v>5</v>
          </cell>
          <cell r="D218" t="str">
            <v>Harga Satuan Dasar Excavator</v>
          </cell>
          <cell r="H218" t="str">
            <v>Rp E10</v>
          </cell>
          <cell r="I218">
            <v>1</v>
          </cell>
          <cell r="J218" t="str">
            <v>Jam</v>
          </cell>
          <cell r="K218">
            <v>263757.56718985166</v>
          </cell>
        </row>
        <row r="219">
          <cell r="C219">
            <v>6</v>
          </cell>
          <cell r="D219" t="str">
            <v>Harga Satuan Dasar Dump Truck</v>
          </cell>
          <cell r="H219" t="str">
            <v>Rp E09a</v>
          </cell>
          <cell r="I219">
            <v>1</v>
          </cell>
          <cell r="J219" t="str">
            <v>Jam</v>
          </cell>
          <cell r="K219">
            <v>200469.3426144915</v>
          </cell>
        </row>
        <row r="220">
          <cell r="C220">
            <v>7</v>
          </cell>
          <cell r="D220" t="str">
            <v>Harga Satuan Dasar Whell Loader</v>
          </cell>
          <cell r="H220" t="str">
            <v>Rp E15</v>
          </cell>
          <cell r="I220">
            <v>1</v>
          </cell>
          <cell r="J220" t="str">
            <v>Jam</v>
          </cell>
          <cell r="K220">
            <v>256176.66953343368</v>
          </cell>
        </row>
        <row r="221">
          <cell r="C221">
            <v>8</v>
          </cell>
          <cell r="D221" t="str">
            <v>Harga satuan Upah Pekerja</v>
          </cell>
          <cell r="H221" t="str">
            <v>Rp L01</v>
          </cell>
          <cell r="I221">
            <v>1</v>
          </cell>
          <cell r="J221" t="str">
            <v>Jam</v>
          </cell>
          <cell r="K221">
            <v>7500</v>
          </cell>
        </row>
        <row r="223">
          <cell r="C223" t="str">
            <v>II</v>
          </cell>
          <cell r="D223" t="str">
            <v>URUTAN KERJA</v>
          </cell>
        </row>
        <row r="224">
          <cell r="C224">
            <v>1</v>
          </cell>
          <cell r="D224" t="str">
            <v>Batu Kali digali dengan alat Excavator</v>
          </cell>
        </row>
        <row r="225">
          <cell r="C225">
            <v>2</v>
          </cell>
          <cell r="D225" t="str">
            <v>Batu kali Dibelah Oleh Pekerja</v>
          </cell>
        </row>
        <row r="226">
          <cell r="C226">
            <v>3</v>
          </cell>
          <cell r="D226" t="str">
            <v xml:space="preserve">Dengan Whel Loader batu belah dimuat kedalam Dump Truck </v>
          </cell>
        </row>
        <row r="227">
          <cell r="D227" t="str">
            <v>kemudian Batu Belah di angkut ke Lokasi Pekerjaan</v>
          </cell>
        </row>
        <row r="229">
          <cell r="C229" t="str">
            <v>III</v>
          </cell>
          <cell r="D229" t="str">
            <v>PERHITUNGAN</v>
          </cell>
        </row>
        <row r="230">
          <cell r="C230">
            <v>1</v>
          </cell>
          <cell r="D230" t="str">
            <v>Excavator</v>
          </cell>
          <cell r="H230" t="str">
            <v>(E10)</v>
          </cell>
        </row>
        <row r="231">
          <cell r="D231" t="str">
            <v>Kapasitas Bucket</v>
          </cell>
          <cell r="H231" t="str">
            <v>V</v>
          </cell>
          <cell r="I231">
            <v>0.5</v>
          </cell>
          <cell r="J231" t="str">
            <v>M3</v>
          </cell>
        </row>
        <row r="232">
          <cell r="D232" t="str">
            <v>Faktor Bucket</v>
          </cell>
          <cell r="H232" t="str">
            <v>Fb</v>
          </cell>
          <cell r="I232">
            <v>0.75</v>
          </cell>
          <cell r="J232" t="str">
            <v>-</v>
          </cell>
        </row>
        <row r="233">
          <cell r="D233" t="str">
            <v>Faktor Efisiensi alat</v>
          </cell>
          <cell r="H233" t="str">
            <v>Fa</v>
          </cell>
          <cell r="I233">
            <v>0.83</v>
          </cell>
          <cell r="J233" t="str">
            <v>-</v>
          </cell>
        </row>
        <row r="234">
          <cell r="D234" t="str">
            <v>Waktu Siklus</v>
          </cell>
          <cell r="H234" t="str">
            <v>Ts1</v>
          </cell>
        </row>
        <row r="235">
          <cell r="D235" t="str">
            <v>- Menggali/Memuat</v>
          </cell>
          <cell r="H235" t="str">
            <v>T1</v>
          </cell>
          <cell r="I235">
            <v>0.75</v>
          </cell>
          <cell r="J235" t="str">
            <v>menit</v>
          </cell>
        </row>
        <row r="236">
          <cell r="D236" t="str">
            <v>- Lain-lain</v>
          </cell>
          <cell r="H236" t="str">
            <v>T2</v>
          </cell>
          <cell r="I236">
            <v>0.5</v>
          </cell>
          <cell r="J236" t="str">
            <v>menit</v>
          </cell>
        </row>
        <row r="237">
          <cell r="H237" t="str">
            <v>Ts1</v>
          </cell>
          <cell r="I237">
            <v>1.25</v>
          </cell>
          <cell r="J237" t="str">
            <v>menit</v>
          </cell>
        </row>
        <row r="238">
          <cell r="D238" t="str">
            <v>Kapasitas Produksi / jam</v>
          </cell>
          <cell r="F238" t="str">
            <v>V x Fb x Fa x 60</v>
          </cell>
          <cell r="H238" t="str">
            <v>Q1</v>
          </cell>
          <cell r="I238">
            <v>14.939999999999998</v>
          </cell>
          <cell r="J238" t="str">
            <v>M3/Jam</v>
          </cell>
        </row>
        <row r="239">
          <cell r="F239" t="str">
            <v>Ts1</v>
          </cell>
        </row>
        <row r="240">
          <cell r="D240" t="str">
            <v>Biaya Excavator / M3</v>
          </cell>
          <cell r="F240" t="str">
            <v>= (1 : Q1 ) x RpE10</v>
          </cell>
          <cell r="H240" t="str">
            <v>^Rp1</v>
          </cell>
          <cell r="I240">
            <v>17654.45563519757</v>
          </cell>
          <cell r="J240" t="str">
            <v>Rupiah</v>
          </cell>
        </row>
        <row r="242">
          <cell r="C242">
            <v>2</v>
          </cell>
          <cell r="D242" t="str">
            <v>Whell Loader</v>
          </cell>
        </row>
        <row r="243">
          <cell r="D243" t="str">
            <v>Kapasitas Bucket</v>
          </cell>
          <cell r="H243" t="str">
            <v>V</v>
          </cell>
          <cell r="I243">
            <v>1.5</v>
          </cell>
          <cell r="J243" t="str">
            <v>M3</v>
          </cell>
        </row>
        <row r="244">
          <cell r="D244" t="str">
            <v>Faktor Bucket</v>
          </cell>
          <cell r="H244" t="str">
            <v>Fb</v>
          </cell>
          <cell r="I244">
            <v>0.75</v>
          </cell>
          <cell r="J244" t="str">
            <v>-</v>
          </cell>
        </row>
        <row r="245">
          <cell r="D245" t="str">
            <v>Faktor Efisiensi alat</v>
          </cell>
          <cell r="H245" t="str">
            <v>Fa</v>
          </cell>
          <cell r="I245">
            <v>0.83</v>
          </cell>
          <cell r="J245" t="str">
            <v>-</v>
          </cell>
        </row>
        <row r="246">
          <cell r="D246" t="str">
            <v>Waktu Siklus</v>
          </cell>
          <cell r="H246" t="str">
            <v>Ts1</v>
          </cell>
        </row>
        <row r="247">
          <cell r="D247" t="str">
            <v>- Menggali/Memuat</v>
          </cell>
          <cell r="H247" t="str">
            <v>T1</v>
          </cell>
          <cell r="I247">
            <v>0.75</v>
          </cell>
          <cell r="J247" t="str">
            <v>menit</v>
          </cell>
        </row>
        <row r="248">
          <cell r="D248" t="str">
            <v>- Lain-lain</v>
          </cell>
          <cell r="H248" t="str">
            <v>T2</v>
          </cell>
          <cell r="I248">
            <v>0.5</v>
          </cell>
          <cell r="J248" t="str">
            <v>menit</v>
          </cell>
        </row>
        <row r="249">
          <cell r="H249" t="str">
            <v>Ts1</v>
          </cell>
          <cell r="I249">
            <v>1.25</v>
          </cell>
          <cell r="J249" t="str">
            <v>menit</v>
          </cell>
        </row>
        <row r="250">
          <cell r="D250" t="str">
            <v>Kapasitas Produksi / jam</v>
          </cell>
          <cell r="F250" t="str">
            <v>V x Fb x Fa x 60</v>
          </cell>
          <cell r="H250" t="str">
            <v>Q2</v>
          </cell>
          <cell r="I250">
            <v>44.82</v>
          </cell>
          <cell r="J250" t="str">
            <v>M3/Jam</v>
          </cell>
        </row>
        <row r="251">
          <cell r="F251" t="str">
            <v>Ts1</v>
          </cell>
        </row>
        <row r="252">
          <cell r="D252" t="str">
            <v>Biaya Excavator / M3</v>
          </cell>
          <cell r="F252" t="str">
            <v>= (1 : Q2 ) x RpE15</v>
          </cell>
          <cell r="H252" t="str">
            <v>^Rp2</v>
          </cell>
          <cell r="I252">
            <v>5715.6775888762531</v>
          </cell>
          <cell r="J252" t="str">
            <v>Rupiah</v>
          </cell>
        </row>
        <row r="254">
          <cell r="C254">
            <v>3</v>
          </cell>
          <cell r="D254" t="str">
            <v>Dump Truck</v>
          </cell>
          <cell r="H254" t="str">
            <v>(E09a)</v>
          </cell>
        </row>
        <row r="255">
          <cell r="D255" t="str">
            <v>Kapsitas Bak</v>
          </cell>
          <cell r="H255" t="str">
            <v>V</v>
          </cell>
          <cell r="I255">
            <v>12</v>
          </cell>
          <cell r="J255" t="str">
            <v>M3</v>
          </cell>
        </row>
        <row r="256">
          <cell r="D256" t="str">
            <v>Faktor efesiaensi alat</v>
          </cell>
          <cell r="H256" t="str">
            <v>Fa</v>
          </cell>
          <cell r="I256">
            <v>0.83</v>
          </cell>
          <cell r="J256" t="str">
            <v>-</v>
          </cell>
        </row>
        <row r="257">
          <cell r="D257" t="str">
            <v>Kecepatan Rata-rata Bermuatan</v>
          </cell>
          <cell r="H257" t="str">
            <v>v1</v>
          </cell>
          <cell r="I257">
            <v>15</v>
          </cell>
          <cell r="J257" t="str">
            <v>Km/Jam</v>
          </cell>
        </row>
        <row r="258">
          <cell r="D258" t="str">
            <v>Kecepatan Rata-rata Kosong</v>
          </cell>
          <cell r="H258" t="str">
            <v>v2</v>
          </cell>
          <cell r="I258">
            <v>30</v>
          </cell>
          <cell r="J258" t="str">
            <v>Km/Jam</v>
          </cell>
        </row>
        <row r="259">
          <cell r="D259" t="str">
            <v>Waktu Siklus</v>
          </cell>
          <cell r="H259" t="str">
            <v>Ts2</v>
          </cell>
          <cell r="J259" t="str">
            <v>Menit</v>
          </cell>
        </row>
        <row r="260">
          <cell r="D260" t="str">
            <v>- Waktu Tempuh isi</v>
          </cell>
          <cell r="F260" t="str">
            <v>= ( L/v1 ) x 60</v>
          </cell>
          <cell r="H260" t="str">
            <v>T1</v>
          </cell>
          <cell r="I260">
            <v>6</v>
          </cell>
          <cell r="J260" t="str">
            <v>Menit</v>
          </cell>
        </row>
        <row r="261">
          <cell r="D261" t="str">
            <v>- Waktu Tempuh Kosong</v>
          </cell>
          <cell r="F261" t="str">
            <v>= ( L/v2 ) x 60</v>
          </cell>
          <cell r="H261" t="str">
            <v>T2</v>
          </cell>
          <cell r="I261">
            <v>3</v>
          </cell>
          <cell r="J261" t="str">
            <v>Menit</v>
          </cell>
        </row>
        <row r="262">
          <cell r="D262" t="str">
            <v>- Muat</v>
          </cell>
          <cell r="F262" t="str">
            <v>= ( V/Q2 ) x 60</v>
          </cell>
          <cell r="H262" t="str">
            <v>T3</v>
          </cell>
          <cell r="I262">
            <v>16.064257028112451</v>
          </cell>
        </row>
        <row r="263">
          <cell r="D263" t="str">
            <v>- Lain - lain</v>
          </cell>
          <cell r="H263" t="str">
            <v>T4</v>
          </cell>
          <cell r="I263">
            <v>1</v>
          </cell>
          <cell r="J263" t="str">
            <v>Menit</v>
          </cell>
        </row>
        <row r="264">
          <cell r="H264" t="str">
            <v>Ts2</v>
          </cell>
          <cell r="I264">
            <v>26.064257028112451</v>
          </cell>
        </row>
        <row r="265">
          <cell r="D265" t="str">
            <v>Kapasitas Produksi / jam</v>
          </cell>
          <cell r="F265" t="str">
            <v>V x Fa x 60</v>
          </cell>
          <cell r="H265" t="str">
            <v>Q3</v>
          </cell>
          <cell r="I265">
            <v>22.927950693374417</v>
          </cell>
          <cell r="J265" t="str">
            <v>M3/Jam</v>
          </cell>
        </row>
        <row r="266">
          <cell r="F266" t="str">
            <v>Ts2</v>
          </cell>
        </row>
        <row r="267">
          <cell r="D267" t="str">
            <v>Biaya Dump Truck / M3</v>
          </cell>
          <cell r="F267" t="str">
            <v>= (1 : Q3 ) x RpE08</v>
          </cell>
          <cell r="H267" t="str">
            <v>^Rp3</v>
          </cell>
          <cell r="I267">
            <v>8743.4479119157349</v>
          </cell>
          <cell r="J267" t="str">
            <v>Rupiah</v>
          </cell>
        </row>
        <row r="269">
          <cell r="C269">
            <v>4</v>
          </cell>
          <cell r="D269" t="str">
            <v>Pekerja</v>
          </cell>
        </row>
        <row r="270">
          <cell r="D270" t="str">
            <v>Produksi menentukan : Excavator</v>
          </cell>
          <cell r="H270" t="str">
            <v>Q1</v>
          </cell>
          <cell r="I270">
            <v>14.939999999999998</v>
          </cell>
          <cell r="J270" t="str">
            <v>M3/Jam</v>
          </cell>
        </row>
        <row r="271">
          <cell r="D271" t="str">
            <v>Hasil Galian batu / hari  =  Q1 x 7 Jam</v>
          </cell>
          <cell r="H271" t="str">
            <v>Qt</v>
          </cell>
          <cell r="I271">
            <v>104.57999999999998</v>
          </cell>
          <cell r="J271" t="str">
            <v>M3 / 7 Jam</v>
          </cell>
        </row>
        <row r="272">
          <cell r="D272" t="str">
            <v>Kebutuhan Pekerja</v>
          </cell>
          <cell r="H272" t="str">
            <v>P</v>
          </cell>
          <cell r="I272">
            <v>15</v>
          </cell>
          <cell r="J272" t="str">
            <v>Orang</v>
          </cell>
        </row>
        <row r="273">
          <cell r="D273" t="str">
            <v>Biaya Pekerja / M3  =</v>
          </cell>
        </row>
        <row r="274">
          <cell r="D274" t="str">
            <v xml:space="preserve">  (( 7 Jam x P ) : Qt ) x Rp. L 01</v>
          </cell>
          <cell r="H274" t="str">
            <v>^Rp4</v>
          </cell>
          <cell r="I274">
            <v>7530.1204819277109</v>
          </cell>
          <cell r="J274" t="str">
            <v>Rupiah</v>
          </cell>
        </row>
        <row r="276">
          <cell r="C276" t="str">
            <v>IV</v>
          </cell>
          <cell r="D276" t="str">
            <v>HARGA SATUAN DASAR BAHAN</v>
          </cell>
        </row>
        <row r="277">
          <cell r="D277" t="str">
            <v>Harga Satuan Dasar Batu Belah =</v>
          </cell>
        </row>
        <row r="278">
          <cell r="F278" t="str">
            <v>( Rp M06 + Rp1 + Rp2 + Rp3 + Rp4 )</v>
          </cell>
          <cell r="H278" t="str">
            <v>M06</v>
          </cell>
          <cell r="I278">
            <v>46893.701617917264</v>
          </cell>
          <cell r="J278" t="str">
            <v>Rupiah</v>
          </cell>
        </row>
        <row r="279">
          <cell r="D279" t="str">
            <v>Dibulatkan</v>
          </cell>
          <cell r="H279" t="str">
            <v>M06</v>
          </cell>
          <cell r="I279">
            <v>46900</v>
          </cell>
          <cell r="J279" t="str">
            <v>Rupiah</v>
          </cell>
        </row>
        <row r="282">
          <cell r="A282" t="str">
            <v>|::</v>
          </cell>
        </row>
        <row r="283">
          <cell r="C283" t="str">
            <v>Jenis      : M07 - Gravel</v>
          </cell>
        </row>
        <row r="284">
          <cell r="C284" t="str">
            <v>Lokasi    : Quary I (Jamur Ujung)</v>
          </cell>
        </row>
        <row r="285">
          <cell r="C285" t="str">
            <v>Tujuan   :  Base Camp  I  ( Stone Crusher)</v>
          </cell>
        </row>
        <row r="286">
          <cell r="C286" t="str">
            <v>No</v>
          </cell>
          <cell r="D286" t="str">
            <v>URAIAN</v>
          </cell>
          <cell r="H286" t="str">
            <v>KODE</v>
          </cell>
          <cell r="I286" t="str">
            <v>KOEF.</v>
          </cell>
          <cell r="J286" t="str">
            <v>SATUAN</v>
          </cell>
          <cell r="K286" t="str">
            <v>HARGA SATUAN</v>
          </cell>
        </row>
        <row r="287">
          <cell r="K287" t="str">
            <v>( Rp )</v>
          </cell>
        </row>
        <row r="288">
          <cell r="C288" t="str">
            <v>I.</v>
          </cell>
          <cell r="D288" t="str">
            <v>ASUMSI</v>
          </cell>
        </row>
        <row r="289">
          <cell r="C289">
            <v>1</v>
          </cell>
          <cell r="D289" t="str">
            <v xml:space="preserve">Menggunakan alat berat </v>
          </cell>
        </row>
        <row r="290">
          <cell r="C290">
            <v>2</v>
          </cell>
          <cell r="D290" t="str">
            <v>Kondisi existing Jalan : Kondisi Baik (Sedang)</v>
          </cell>
        </row>
        <row r="291">
          <cell r="C291">
            <v>3</v>
          </cell>
          <cell r="D291" t="str">
            <v>Jarak rata - rata Quarry Kelokasi Base Camp I (Stone Crusher)</v>
          </cell>
          <cell r="H291" t="str">
            <v>L</v>
          </cell>
          <cell r="I291">
            <v>1.5</v>
          </cell>
          <cell r="J291" t="str">
            <v>Km</v>
          </cell>
        </row>
        <row r="292">
          <cell r="C292">
            <v>4</v>
          </cell>
          <cell r="D292" t="str">
            <v>Harga Satuan Gravel di Quarry</v>
          </cell>
          <cell r="H292" t="str">
            <v>Rp M07</v>
          </cell>
          <cell r="I292">
            <v>1</v>
          </cell>
          <cell r="J292" t="str">
            <v>M3</v>
          </cell>
          <cell r="K292">
            <v>8500</v>
          </cell>
        </row>
        <row r="293">
          <cell r="C293">
            <v>5</v>
          </cell>
          <cell r="D293" t="str">
            <v>Harga Satuan Dasar Excavator</v>
          </cell>
          <cell r="H293" t="str">
            <v>Rp E10</v>
          </cell>
          <cell r="I293">
            <v>1</v>
          </cell>
          <cell r="J293" t="str">
            <v>Jam</v>
          </cell>
          <cell r="K293">
            <v>263757.56718985166</v>
          </cell>
        </row>
        <row r="294">
          <cell r="C294">
            <v>6</v>
          </cell>
          <cell r="D294" t="str">
            <v>Harga Satuan Dasar Dump Truck</v>
          </cell>
          <cell r="H294" t="str">
            <v>Rp E09a</v>
          </cell>
          <cell r="I294">
            <v>1</v>
          </cell>
          <cell r="J294" t="str">
            <v>Jam</v>
          </cell>
          <cell r="K294">
            <v>200469.3426144915</v>
          </cell>
        </row>
        <row r="296">
          <cell r="C296" t="str">
            <v>II</v>
          </cell>
          <cell r="D296" t="str">
            <v>URUTAN KERJA</v>
          </cell>
        </row>
        <row r="297">
          <cell r="C297">
            <v>1</v>
          </cell>
          <cell r="D297" t="str">
            <v>Gravel digali dengan alat Excavator dan sekaligus memuat Gravel yang</v>
          </cell>
        </row>
        <row r="298">
          <cell r="D298" t="str">
            <v>di gali ke dalam Dump Truck</v>
          </cell>
        </row>
        <row r="299">
          <cell r="C299">
            <v>2</v>
          </cell>
          <cell r="D299" t="str">
            <v>Dump Truck mengangkut Ke Base Camp I (Stone Crusher)</v>
          </cell>
        </row>
        <row r="301">
          <cell r="C301" t="str">
            <v>III</v>
          </cell>
          <cell r="D301" t="str">
            <v>PERHITUNGAN</v>
          </cell>
        </row>
        <row r="302">
          <cell r="C302">
            <v>1</v>
          </cell>
          <cell r="D302" t="str">
            <v>Excavator</v>
          </cell>
          <cell r="H302" t="str">
            <v>(E10)</v>
          </cell>
        </row>
        <row r="303">
          <cell r="D303" t="str">
            <v>Kapasitas Bucket</v>
          </cell>
          <cell r="H303" t="str">
            <v>V</v>
          </cell>
          <cell r="I303">
            <v>0.5</v>
          </cell>
          <cell r="J303" t="str">
            <v>M3</v>
          </cell>
        </row>
        <row r="304">
          <cell r="D304" t="str">
            <v>Faktor Bucket</v>
          </cell>
          <cell r="H304" t="str">
            <v>Fb</v>
          </cell>
          <cell r="I304">
            <v>0.75</v>
          </cell>
          <cell r="J304" t="str">
            <v>-</v>
          </cell>
        </row>
        <row r="305">
          <cell r="D305" t="str">
            <v>Faktor Efisiensi alat</v>
          </cell>
          <cell r="H305" t="str">
            <v>Fa</v>
          </cell>
          <cell r="I305">
            <v>0.83</v>
          </cell>
          <cell r="J305" t="str">
            <v>-</v>
          </cell>
        </row>
        <row r="306">
          <cell r="D306" t="str">
            <v>Waktu Siklus</v>
          </cell>
          <cell r="H306" t="str">
            <v>Ts1</v>
          </cell>
        </row>
        <row r="307">
          <cell r="D307" t="str">
            <v>- Menggali/Memuat</v>
          </cell>
          <cell r="H307" t="str">
            <v>T1</v>
          </cell>
          <cell r="I307">
            <v>0.75</v>
          </cell>
          <cell r="J307" t="str">
            <v>menit</v>
          </cell>
        </row>
        <row r="308">
          <cell r="D308" t="str">
            <v>- Lain-lain</v>
          </cell>
          <cell r="H308" t="str">
            <v>T2</v>
          </cell>
          <cell r="I308">
            <v>0.5</v>
          </cell>
          <cell r="J308" t="str">
            <v>menit</v>
          </cell>
        </row>
        <row r="309">
          <cell r="H309" t="str">
            <v>Ts1</v>
          </cell>
          <cell r="I309">
            <v>1.25</v>
          </cell>
          <cell r="J309" t="str">
            <v>menit</v>
          </cell>
        </row>
        <row r="310">
          <cell r="D310" t="str">
            <v>Kapasitas Produksi / jam</v>
          </cell>
          <cell r="F310" t="str">
            <v>V x Fb x Fa x 60</v>
          </cell>
          <cell r="H310" t="str">
            <v>Q1</v>
          </cell>
          <cell r="I310">
            <v>14.939999999999998</v>
          </cell>
          <cell r="J310" t="str">
            <v>M3/Jam</v>
          </cell>
        </row>
        <row r="311">
          <cell r="F311" t="str">
            <v>Ts1</v>
          </cell>
        </row>
        <row r="312">
          <cell r="D312" t="str">
            <v>Biaya Excavator / M3</v>
          </cell>
          <cell r="F312" t="str">
            <v>= (1 : Q1 ) x RpE10</v>
          </cell>
          <cell r="H312" t="str">
            <v>^Rp1</v>
          </cell>
          <cell r="I312">
            <v>17654.45563519757</v>
          </cell>
          <cell r="J312" t="str">
            <v>Rupiah</v>
          </cell>
        </row>
        <row r="314">
          <cell r="C314">
            <v>2</v>
          </cell>
          <cell r="D314" t="str">
            <v>Dump Truck</v>
          </cell>
          <cell r="H314" t="str">
            <v>(E09a)</v>
          </cell>
        </row>
        <row r="315">
          <cell r="D315" t="str">
            <v>Kapsitas Bak</v>
          </cell>
          <cell r="H315" t="str">
            <v>V</v>
          </cell>
          <cell r="I315">
            <v>12</v>
          </cell>
          <cell r="J315" t="str">
            <v>M3</v>
          </cell>
        </row>
        <row r="316">
          <cell r="D316" t="str">
            <v>Faktor efesiaensi alat</v>
          </cell>
          <cell r="H316" t="str">
            <v>Fa</v>
          </cell>
          <cell r="I316">
            <v>0.83</v>
          </cell>
          <cell r="J316" t="str">
            <v>-</v>
          </cell>
        </row>
        <row r="317">
          <cell r="D317" t="str">
            <v>Kecepatan Rata-rata Bermuatan</v>
          </cell>
          <cell r="H317" t="str">
            <v>v1</v>
          </cell>
          <cell r="I317">
            <v>15</v>
          </cell>
          <cell r="J317" t="str">
            <v>Km/Jam</v>
          </cell>
        </row>
        <row r="318">
          <cell r="D318" t="str">
            <v>Kecepatan Rata-rata Kosong</v>
          </cell>
          <cell r="H318" t="str">
            <v>v2</v>
          </cell>
          <cell r="I318">
            <v>30</v>
          </cell>
          <cell r="J318" t="str">
            <v>Km/Jam</v>
          </cell>
        </row>
        <row r="319">
          <cell r="D319" t="str">
            <v>Waktu Siklus</v>
          </cell>
          <cell r="H319" t="str">
            <v>Ts2</v>
          </cell>
          <cell r="J319" t="str">
            <v>Menit</v>
          </cell>
        </row>
        <row r="320">
          <cell r="D320" t="str">
            <v>- Waktu Tempuh isi</v>
          </cell>
          <cell r="F320" t="str">
            <v>= ( L/v1 ) x 60</v>
          </cell>
          <cell r="H320" t="str">
            <v>T1</v>
          </cell>
          <cell r="I320">
            <v>6</v>
          </cell>
          <cell r="J320" t="str">
            <v>Menit</v>
          </cell>
        </row>
        <row r="321">
          <cell r="D321" t="str">
            <v>- Waktu Tempuh Kosong</v>
          </cell>
          <cell r="F321" t="str">
            <v>= ( L/v2 ) x 60</v>
          </cell>
          <cell r="H321" t="str">
            <v>T2</v>
          </cell>
          <cell r="I321">
            <v>3</v>
          </cell>
          <cell r="J321" t="str">
            <v>Menit</v>
          </cell>
        </row>
        <row r="322">
          <cell r="D322" t="str">
            <v>- Muat</v>
          </cell>
          <cell r="F322" t="str">
            <v>= ( V/Q1 ) x 60</v>
          </cell>
          <cell r="H322" t="str">
            <v>T3</v>
          </cell>
          <cell r="I322">
            <v>48.192771084337359</v>
          </cell>
        </row>
        <row r="323">
          <cell r="D323" t="str">
            <v>- Lain - lain</v>
          </cell>
          <cell r="H323" t="str">
            <v>T4</v>
          </cell>
          <cell r="I323">
            <v>1</v>
          </cell>
          <cell r="J323" t="str">
            <v>Menit</v>
          </cell>
        </row>
        <row r="324">
          <cell r="H324" t="str">
            <v>Ts2</v>
          </cell>
          <cell r="I324">
            <v>58.192771084337359</v>
          </cell>
        </row>
        <row r="325">
          <cell r="D325" t="str">
            <v>Kapasitas Produksi / jam</v>
          </cell>
          <cell r="F325" t="str">
            <v>V x Fa x 60</v>
          </cell>
          <cell r="H325" t="str">
            <v>Q2</v>
          </cell>
          <cell r="I325">
            <v>10.269316770186332</v>
          </cell>
          <cell r="J325" t="str">
            <v>M3/Jam</v>
          </cell>
        </row>
        <row r="326">
          <cell r="F326" t="str">
            <v>Ts2</v>
          </cell>
        </row>
        <row r="327">
          <cell r="D327" t="str">
            <v>Biaya Dump Truck / M3</v>
          </cell>
          <cell r="F327" t="str">
            <v>= (1 : Q2 ) x RpE08</v>
          </cell>
          <cell r="H327" t="str">
            <v>^Rp2</v>
          </cell>
          <cell r="I327">
            <v>19521.195723214027</v>
          </cell>
          <cell r="J327" t="str">
            <v>Rupiah</v>
          </cell>
        </row>
        <row r="329">
          <cell r="C329" t="str">
            <v>IV</v>
          </cell>
          <cell r="D329" t="str">
            <v>HARGA SATUAN DASAR BAHAN</v>
          </cell>
        </row>
        <row r="330">
          <cell r="D330" t="str">
            <v>Harga Satuan Dasar Gravel</v>
          </cell>
          <cell r="F330" t="str">
            <v>= ( Rp M07 + Rp1 + Rp2 )</v>
          </cell>
          <cell r="H330" t="str">
            <v>M07</v>
          </cell>
          <cell r="I330">
            <v>45675.651358411596</v>
          </cell>
          <cell r="J330" t="str">
            <v>Rupiah</v>
          </cell>
        </row>
        <row r="332">
          <cell r="D332" t="str">
            <v>Dibulatkan</v>
          </cell>
          <cell r="H332" t="str">
            <v>M07</v>
          </cell>
          <cell r="I332">
            <v>45700</v>
          </cell>
          <cell r="J332" t="str">
            <v>Rupiah</v>
          </cell>
        </row>
        <row r="335">
          <cell r="A335" t="str">
            <v>|::</v>
          </cell>
        </row>
        <row r="336">
          <cell r="C336" t="str">
            <v>Jenis      : M07.a - Gravel</v>
          </cell>
        </row>
        <row r="337">
          <cell r="C337" t="str">
            <v>Lokasi    : Quarry II (Genting Gerbang)</v>
          </cell>
        </row>
        <row r="338">
          <cell r="C338" t="str">
            <v>Tujuan   :  Base Camp  II  ( Stone Crusher)</v>
          </cell>
        </row>
        <row r="339">
          <cell r="C339" t="str">
            <v>No</v>
          </cell>
          <cell r="D339" t="str">
            <v>URAIAN</v>
          </cell>
          <cell r="H339" t="str">
            <v>KODE</v>
          </cell>
          <cell r="I339" t="str">
            <v>KOEF.</v>
          </cell>
          <cell r="J339" t="str">
            <v>SATUAN</v>
          </cell>
          <cell r="K339" t="str">
            <v>HARGA SATUAN</v>
          </cell>
        </row>
        <row r="340">
          <cell r="K340" t="str">
            <v>( Rp )</v>
          </cell>
        </row>
        <row r="341">
          <cell r="C341" t="str">
            <v>I.</v>
          </cell>
          <cell r="D341" t="str">
            <v>ASUMSI</v>
          </cell>
        </row>
        <row r="342">
          <cell r="C342">
            <v>1</v>
          </cell>
          <cell r="D342" t="str">
            <v xml:space="preserve">Menggunakan alat berat </v>
          </cell>
        </row>
        <row r="343">
          <cell r="C343">
            <v>2</v>
          </cell>
          <cell r="D343" t="str">
            <v>Kondisi existing Jalan : Kondisi Baik (Sedang)</v>
          </cell>
        </row>
        <row r="344">
          <cell r="C344">
            <v>3</v>
          </cell>
          <cell r="D344" t="str">
            <v>Jarak rata - rata Quarry Kelokasi Base Camp I (Stone Crusher)</v>
          </cell>
          <cell r="H344" t="str">
            <v>L</v>
          </cell>
          <cell r="I344">
            <v>1.5</v>
          </cell>
          <cell r="J344" t="str">
            <v>Km</v>
          </cell>
        </row>
        <row r="345">
          <cell r="C345">
            <v>4</v>
          </cell>
          <cell r="D345" t="str">
            <v>Harga Satuan Gravel di Quarry</v>
          </cell>
          <cell r="H345" t="str">
            <v>Rp M07</v>
          </cell>
          <cell r="I345">
            <v>1</v>
          </cell>
          <cell r="J345" t="str">
            <v>M3</v>
          </cell>
          <cell r="K345">
            <v>7250</v>
          </cell>
        </row>
        <row r="346">
          <cell r="C346">
            <v>5</v>
          </cell>
          <cell r="D346" t="str">
            <v>Harga Satuan Dasar Excavator</v>
          </cell>
          <cell r="H346" t="str">
            <v>Rp E10</v>
          </cell>
          <cell r="I346">
            <v>1</v>
          </cell>
          <cell r="J346" t="str">
            <v>Jam</v>
          </cell>
          <cell r="K346">
            <v>263757.56718985166</v>
          </cell>
        </row>
        <row r="347">
          <cell r="C347">
            <v>6</v>
          </cell>
          <cell r="D347" t="str">
            <v>Harga Satuan Dasar Dump Truck</v>
          </cell>
          <cell r="H347" t="str">
            <v>Rp E09a</v>
          </cell>
          <cell r="I347">
            <v>1</v>
          </cell>
          <cell r="J347" t="str">
            <v>Jam</v>
          </cell>
          <cell r="K347">
            <v>200469.3426144915</v>
          </cell>
        </row>
        <row r="349">
          <cell r="C349" t="str">
            <v>II</v>
          </cell>
          <cell r="D349" t="str">
            <v>URUTAN KERJA</v>
          </cell>
        </row>
        <row r="350">
          <cell r="C350">
            <v>1</v>
          </cell>
          <cell r="D350" t="str">
            <v>Gravel digali dengan alat Excavator dan sekaligus memuat Gravel yang</v>
          </cell>
        </row>
        <row r="351">
          <cell r="D351" t="str">
            <v>di gali ke dalam Dump Truck</v>
          </cell>
        </row>
        <row r="352">
          <cell r="C352">
            <v>2</v>
          </cell>
          <cell r="D352" t="str">
            <v>Dump Truck mengangkut Ke Base Camp I (Stone Crusher)</v>
          </cell>
        </row>
        <row r="354">
          <cell r="C354" t="str">
            <v>III</v>
          </cell>
          <cell r="D354" t="str">
            <v>PERHITUNGAN</v>
          </cell>
        </row>
        <row r="355">
          <cell r="C355">
            <v>1</v>
          </cell>
          <cell r="D355" t="str">
            <v>Excavator</v>
          </cell>
          <cell r="H355" t="str">
            <v>(E10)</v>
          </cell>
        </row>
        <row r="356">
          <cell r="D356" t="str">
            <v>Kapasitas Bucket</v>
          </cell>
          <cell r="H356" t="str">
            <v>V</v>
          </cell>
          <cell r="I356">
            <v>0.5</v>
          </cell>
          <cell r="J356" t="str">
            <v>M3</v>
          </cell>
        </row>
        <row r="357">
          <cell r="D357" t="str">
            <v>Faktor Bucket</v>
          </cell>
          <cell r="H357" t="str">
            <v>Fb</v>
          </cell>
          <cell r="I357">
            <v>0.75</v>
          </cell>
          <cell r="J357" t="str">
            <v>-</v>
          </cell>
        </row>
        <row r="358">
          <cell r="D358" t="str">
            <v>Faktor Efisiensi alat</v>
          </cell>
          <cell r="H358" t="str">
            <v>Fa</v>
          </cell>
          <cell r="I358">
            <v>0.83</v>
          </cell>
          <cell r="J358" t="str">
            <v>-</v>
          </cell>
        </row>
        <row r="359">
          <cell r="D359" t="str">
            <v>Waktu Siklus</v>
          </cell>
          <cell r="H359" t="str">
            <v>Ts1</v>
          </cell>
        </row>
        <row r="360">
          <cell r="D360" t="str">
            <v>- Menggali/Memuat</v>
          </cell>
          <cell r="H360" t="str">
            <v>T1</v>
          </cell>
          <cell r="I360">
            <v>0.75</v>
          </cell>
          <cell r="J360" t="str">
            <v>menit</v>
          </cell>
        </row>
        <row r="361">
          <cell r="D361" t="str">
            <v>- Lain-lain</v>
          </cell>
          <cell r="H361" t="str">
            <v>T2</v>
          </cell>
          <cell r="I361">
            <v>0.5</v>
          </cell>
          <cell r="J361" t="str">
            <v>menit</v>
          </cell>
        </row>
        <row r="362">
          <cell r="H362" t="str">
            <v>Ts1</v>
          </cell>
          <cell r="I362">
            <v>1.25</v>
          </cell>
          <cell r="J362" t="str">
            <v>menit</v>
          </cell>
        </row>
        <row r="363">
          <cell r="D363" t="str">
            <v>Kapasitas Produksi / jam</v>
          </cell>
          <cell r="F363" t="str">
            <v>V x Fb x Fa x 60</v>
          </cell>
          <cell r="H363" t="str">
            <v>Q1</v>
          </cell>
          <cell r="I363">
            <v>14.939999999999998</v>
          </cell>
          <cell r="J363" t="str">
            <v>M3/Jam</v>
          </cell>
        </row>
        <row r="364">
          <cell r="F364" t="str">
            <v>Ts1</v>
          </cell>
        </row>
        <row r="365">
          <cell r="D365" t="str">
            <v>Biaya Excavator / M3</v>
          </cell>
          <cell r="F365" t="str">
            <v>= (1 : Q1 ) x RpE10</v>
          </cell>
          <cell r="H365" t="str">
            <v>^Rp1</v>
          </cell>
          <cell r="I365">
            <v>12654.45563519757</v>
          </cell>
          <cell r="J365" t="str">
            <v>Rupiah</v>
          </cell>
        </row>
        <row r="367">
          <cell r="C367">
            <v>2</v>
          </cell>
          <cell r="D367" t="str">
            <v>Dump Truck</v>
          </cell>
          <cell r="H367" t="str">
            <v>(E09a)</v>
          </cell>
        </row>
        <row r="368">
          <cell r="D368" t="str">
            <v>Kapsitas Bak</v>
          </cell>
          <cell r="H368" t="str">
            <v>V</v>
          </cell>
          <cell r="I368">
            <v>12</v>
          </cell>
          <cell r="J368" t="str">
            <v>M3</v>
          </cell>
        </row>
        <row r="369">
          <cell r="D369" t="str">
            <v>Faktor efesiaensi alat</v>
          </cell>
          <cell r="H369" t="str">
            <v>Fa</v>
          </cell>
          <cell r="I369">
            <v>0.83</v>
          </cell>
          <cell r="J369" t="str">
            <v>-</v>
          </cell>
        </row>
        <row r="370">
          <cell r="D370" t="str">
            <v>Kecepatan Rata-rata Bermuatan</v>
          </cell>
          <cell r="H370" t="str">
            <v>v1</v>
          </cell>
          <cell r="I370">
            <v>15</v>
          </cell>
          <cell r="J370" t="str">
            <v>Km/Jam</v>
          </cell>
        </row>
        <row r="371">
          <cell r="D371" t="str">
            <v>Kecepatan Rata-rata Kosong</v>
          </cell>
          <cell r="H371" t="str">
            <v>v2</v>
          </cell>
          <cell r="I371">
            <v>30</v>
          </cell>
          <cell r="J371" t="str">
            <v>Km/Jam</v>
          </cell>
        </row>
        <row r="372">
          <cell r="D372" t="str">
            <v>Waktu Siklus</v>
          </cell>
          <cell r="H372" t="str">
            <v>Ts2</v>
          </cell>
          <cell r="J372" t="str">
            <v>Menit</v>
          </cell>
        </row>
        <row r="373">
          <cell r="D373" t="str">
            <v>- Waktu Tempuh isi</v>
          </cell>
          <cell r="F373" t="str">
            <v>= ( L/v1 ) x 60</v>
          </cell>
          <cell r="H373" t="str">
            <v>T1</v>
          </cell>
          <cell r="I373">
            <v>6</v>
          </cell>
          <cell r="J373" t="str">
            <v>Menit</v>
          </cell>
        </row>
        <row r="374">
          <cell r="D374" t="str">
            <v>- Waktu Tempuh Kosong</v>
          </cell>
          <cell r="F374" t="str">
            <v>= ( L/v2 ) x 60</v>
          </cell>
          <cell r="H374" t="str">
            <v>T2</v>
          </cell>
          <cell r="I374">
            <v>3</v>
          </cell>
          <cell r="J374" t="str">
            <v>Menit</v>
          </cell>
        </row>
        <row r="375">
          <cell r="D375" t="str">
            <v>- Muat</v>
          </cell>
          <cell r="F375" t="str">
            <v>= ( V/Q1 ) x 60</v>
          </cell>
          <cell r="H375" t="str">
            <v>T3</v>
          </cell>
          <cell r="I375">
            <v>48.192771084337359</v>
          </cell>
        </row>
        <row r="376">
          <cell r="D376" t="str">
            <v>- Lain - lain</v>
          </cell>
          <cell r="H376" t="str">
            <v>T4</v>
          </cell>
          <cell r="I376">
            <v>1</v>
          </cell>
          <cell r="J376" t="str">
            <v>Menit</v>
          </cell>
        </row>
        <row r="377">
          <cell r="H377" t="str">
            <v>Ts2</v>
          </cell>
          <cell r="I377">
            <v>58.192771084337359</v>
          </cell>
        </row>
        <row r="378">
          <cell r="D378" t="str">
            <v>Kapasitas Produksi / jam</v>
          </cell>
          <cell r="F378" t="str">
            <v>V x Fa x 60</v>
          </cell>
          <cell r="H378" t="str">
            <v>Q2</v>
          </cell>
          <cell r="I378">
            <v>10.269316770186332</v>
          </cell>
          <cell r="J378" t="str">
            <v>M3/Jam</v>
          </cell>
        </row>
        <row r="379">
          <cell r="F379" t="str">
            <v>Ts2</v>
          </cell>
        </row>
        <row r="380">
          <cell r="D380" t="str">
            <v>Biaya Dump Truck / M3</v>
          </cell>
          <cell r="F380" t="str">
            <v>= (1 : Q2 ) x RpE08</v>
          </cell>
          <cell r="H380" t="str">
            <v>^Rp2</v>
          </cell>
          <cell r="I380">
            <v>14521.195723214027</v>
          </cell>
          <cell r="J380" t="str">
            <v>Rupiah</v>
          </cell>
        </row>
        <row r="382">
          <cell r="C382" t="str">
            <v>IV</v>
          </cell>
          <cell r="D382" t="str">
            <v>HARGA SATUAN DASAR BAHAN</v>
          </cell>
        </row>
        <row r="383">
          <cell r="D383" t="str">
            <v>Harga Satuan Dasar Gravel</v>
          </cell>
          <cell r="F383" t="str">
            <v>= ( Rp M07 + Rp1 + Rp2 )</v>
          </cell>
          <cell r="H383" t="str">
            <v>M07</v>
          </cell>
          <cell r="I383">
            <v>34425.651358411596</v>
          </cell>
          <cell r="J383" t="str">
            <v>Rupiah</v>
          </cell>
        </row>
        <row r="385">
          <cell r="D385" t="str">
            <v>Dibulatkan</v>
          </cell>
          <cell r="H385" t="str">
            <v>M07</v>
          </cell>
          <cell r="I385">
            <v>34400</v>
          </cell>
          <cell r="J385" t="str">
            <v>Rupiah</v>
          </cell>
        </row>
        <row r="388">
          <cell r="A388" t="str">
            <v>|::</v>
          </cell>
        </row>
        <row r="389">
          <cell r="C389" t="str">
            <v>Jenis      : M16 - Sirtu</v>
          </cell>
        </row>
        <row r="390">
          <cell r="C390" t="str">
            <v>Lokasi    : Quary I (Jamur Ujung)</v>
          </cell>
        </row>
        <row r="391">
          <cell r="C391" t="str">
            <v>Tujuan   :  Base Camp  I  ( Stone Crusher)</v>
          </cell>
        </row>
        <row r="392">
          <cell r="C392" t="str">
            <v>No</v>
          </cell>
          <cell r="D392" t="str">
            <v>URAIAN</v>
          </cell>
          <cell r="H392" t="str">
            <v>KODE</v>
          </cell>
          <cell r="I392" t="str">
            <v>KOEF.</v>
          </cell>
          <cell r="J392" t="str">
            <v>SATUAN</v>
          </cell>
          <cell r="K392" t="str">
            <v>HARGA SATUAN</v>
          </cell>
        </row>
        <row r="393">
          <cell r="K393" t="str">
            <v>( Rp )</v>
          </cell>
        </row>
        <row r="394">
          <cell r="C394" t="str">
            <v>I.</v>
          </cell>
          <cell r="D394" t="str">
            <v>ASUMSI</v>
          </cell>
        </row>
        <row r="395">
          <cell r="C395">
            <v>1</v>
          </cell>
          <cell r="D395" t="str">
            <v xml:space="preserve">Menggunakan alat berat </v>
          </cell>
        </row>
        <row r="396">
          <cell r="C396">
            <v>2</v>
          </cell>
          <cell r="D396" t="str">
            <v>Kondisi existing Jalan : Kondisi Baik (Sedang)</v>
          </cell>
        </row>
        <row r="397">
          <cell r="C397">
            <v>3</v>
          </cell>
          <cell r="D397" t="str">
            <v>Jarak rata - rata Quarry Kelokasi Base Camp I (Stone Crusher)</v>
          </cell>
          <cell r="H397" t="str">
            <v>L</v>
          </cell>
          <cell r="I397">
            <v>1.5</v>
          </cell>
          <cell r="J397" t="str">
            <v>Km</v>
          </cell>
        </row>
        <row r="398">
          <cell r="C398">
            <v>4</v>
          </cell>
          <cell r="D398" t="str">
            <v>Harga Satuan Sirtu di Quarry</v>
          </cell>
          <cell r="H398" t="str">
            <v>Rp M16</v>
          </cell>
          <cell r="I398">
            <v>1</v>
          </cell>
          <cell r="J398" t="str">
            <v>M3</v>
          </cell>
          <cell r="K398">
            <v>7000</v>
          </cell>
        </row>
        <row r="399">
          <cell r="C399">
            <v>5</v>
          </cell>
          <cell r="D399" t="str">
            <v>Harga Satuan Dasar Excavator</v>
          </cell>
          <cell r="H399" t="str">
            <v>Rp E10</v>
          </cell>
          <cell r="I399">
            <v>1</v>
          </cell>
          <cell r="J399" t="str">
            <v>Jam</v>
          </cell>
          <cell r="K399">
            <v>263757.56718985166</v>
          </cell>
        </row>
        <row r="400">
          <cell r="C400">
            <v>6</v>
          </cell>
          <cell r="D400" t="str">
            <v>Harga Satuan Dasar Dump Truck</v>
          </cell>
          <cell r="H400" t="str">
            <v>Rp E09a</v>
          </cell>
          <cell r="I400">
            <v>1</v>
          </cell>
          <cell r="J400" t="str">
            <v>Jam</v>
          </cell>
          <cell r="K400">
            <v>200469.3426144915</v>
          </cell>
        </row>
        <row r="402">
          <cell r="C402" t="str">
            <v>II</v>
          </cell>
          <cell r="D402" t="str">
            <v>URUTAN KERJA</v>
          </cell>
        </row>
        <row r="403">
          <cell r="C403">
            <v>1</v>
          </cell>
          <cell r="D403" t="str">
            <v>Sirtu digali dengan alat Excavator dan sekaligus memuat Sirtu yang</v>
          </cell>
        </row>
        <row r="404">
          <cell r="D404" t="str">
            <v>di gali kedalam Dump Truck</v>
          </cell>
        </row>
        <row r="405">
          <cell r="C405">
            <v>2</v>
          </cell>
          <cell r="D405" t="str">
            <v>Dump Truck mengangkut Ke Base Camp I (Stone Crusher)</v>
          </cell>
        </row>
        <row r="407">
          <cell r="C407" t="str">
            <v>III</v>
          </cell>
          <cell r="D407" t="str">
            <v>PERHITUNGAN</v>
          </cell>
        </row>
        <row r="408">
          <cell r="C408">
            <v>1</v>
          </cell>
          <cell r="D408" t="str">
            <v>Excavator</v>
          </cell>
          <cell r="H408" t="str">
            <v>(E10)</v>
          </cell>
        </row>
        <row r="409">
          <cell r="D409" t="str">
            <v>Kapasitas Bucket</v>
          </cell>
          <cell r="H409" t="str">
            <v>V</v>
          </cell>
          <cell r="I409">
            <v>0.5</v>
          </cell>
          <cell r="J409" t="str">
            <v>M3</v>
          </cell>
        </row>
        <row r="410">
          <cell r="D410" t="str">
            <v>Faktor Bucket</v>
          </cell>
          <cell r="H410" t="str">
            <v>Fb</v>
          </cell>
          <cell r="I410">
            <v>0.9</v>
          </cell>
          <cell r="J410" t="str">
            <v>-</v>
          </cell>
        </row>
        <row r="411">
          <cell r="D411" t="str">
            <v>Faktor Efisiensi alat</v>
          </cell>
          <cell r="H411" t="str">
            <v>Fa</v>
          </cell>
          <cell r="I411">
            <v>0.83</v>
          </cell>
          <cell r="J411" t="str">
            <v>-</v>
          </cell>
        </row>
        <row r="412">
          <cell r="D412" t="str">
            <v>Waktu Siklus</v>
          </cell>
          <cell r="H412" t="str">
            <v>Ts1</v>
          </cell>
        </row>
        <row r="413">
          <cell r="D413" t="str">
            <v>- Menggali/Memuat</v>
          </cell>
          <cell r="H413" t="str">
            <v>T1</v>
          </cell>
          <cell r="I413">
            <v>0.5</v>
          </cell>
          <cell r="J413" t="str">
            <v>menit</v>
          </cell>
        </row>
        <row r="414">
          <cell r="D414" t="str">
            <v>- Lain-lain</v>
          </cell>
          <cell r="H414" t="str">
            <v>T2</v>
          </cell>
          <cell r="I414">
            <v>0.5</v>
          </cell>
          <cell r="J414" t="str">
            <v>menit</v>
          </cell>
        </row>
        <row r="415">
          <cell r="H415" t="str">
            <v>Ts1</v>
          </cell>
          <cell r="I415">
            <v>1</v>
          </cell>
          <cell r="J415" t="str">
            <v>menit</v>
          </cell>
        </row>
        <row r="416">
          <cell r="D416" t="str">
            <v>Kapasitas Produksi / jam</v>
          </cell>
          <cell r="F416" t="str">
            <v>V x Fb x Fa x 60</v>
          </cell>
          <cell r="H416" t="str">
            <v>Q1</v>
          </cell>
          <cell r="I416">
            <v>22.41</v>
          </cell>
          <cell r="J416" t="str">
            <v>M3/Jam</v>
          </cell>
        </row>
        <row r="417">
          <cell r="F417" t="str">
            <v>Ts1</v>
          </cell>
        </row>
        <row r="418">
          <cell r="D418" t="str">
            <v>Biaya Excavator / M3</v>
          </cell>
          <cell r="F418" t="str">
            <v>= (1 : Q1 ) x RpE10</v>
          </cell>
          <cell r="H418" t="str">
            <v>^Rp1</v>
          </cell>
          <cell r="I418">
            <v>11769.637090131711</v>
          </cell>
          <cell r="J418" t="str">
            <v>Rupiah</v>
          </cell>
        </row>
        <row r="420">
          <cell r="C420">
            <v>2</v>
          </cell>
          <cell r="D420" t="str">
            <v>Dump Truck</v>
          </cell>
          <cell r="H420" t="str">
            <v>(E09a)</v>
          </cell>
        </row>
        <row r="421">
          <cell r="D421" t="str">
            <v>Kapsitas Bak</v>
          </cell>
          <cell r="H421" t="str">
            <v>V</v>
          </cell>
          <cell r="I421">
            <v>12</v>
          </cell>
          <cell r="J421" t="str">
            <v>M3</v>
          </cell>
        </row>
        <row r="422">
          <cell r="D422" t="str">
            <v>Faktor efesiaensi alat</v>
          </cell>
          <cell r="H422" t="str">
            <v>Fa</v>
          </cell>
          <cell r="I422">
            <v>0.83</v>
          </cell>
          <cell r="J422" t="str">
            <v>-</v>
          </cell>
        </row>
        <row r="423">
          <cell r="D423" t="str">
            <v>Kecepatan Rata-rata Bermuatan</v>
          </cell>
          <cell r="H423" t="str">
            <v>v1</v>
          </cell>
          <cell r="I423">
            <v>25</v>
          </cell>
          <cell r="J423" t="str">
            <v>Km/Jam</v>
          </cell>
        </row>
        <row r="424">
          <cell r="D424" t="str">
            <v>Kecepatan Rata-rata Kosong</v>
          </cell>
          <cell r="H424" t="str">
            <v>v2</v>
          </cell>
          <cell r="I424">
            <v>35</v>
          </cell>
          <cell r="J424" t="str">
            <v>Km/Jam</v>
          </cell>
        </row>
        <row r="425">
          <cell r="D425" t="str">
            <v>Waktu Siklus</v>
          </cell>
          <cell r="H425" t="str">
            <v>Ts2</v>
          </cell>
          <cell r="J425" t="str">
            <v>Menit</v>
          </cell>
        </row>
        <row r="426">
          <cell r="D426" t="str">
            <v>- Waktu Tempuh isi</v>
          </cell>
          <cell r="F426" t="str">
            <v>= ( L/v1 ) x 60</v>
          </cell>
          <cell r="H426" t="str">
            <v>T1</v>
          </cell>
          <cell r="I426">
            <v>3.5999999999999996</v>
          </cell>
          <cell r="J426" t="str">
            <v>Menit</v>
          </cell>
        </row>
        <row r="427">
          <cell r="D427" t="str">
            <v>- Waktu Tempuh Kosong</v>
          </cell>
          <cell r="F427" t="str">
            <v>= ( L/v2 ) x 60</v>
          </cell>
          <cell r="H427" t="str">
            <v>T2</v>
          </cell>
          <cell r="I427">
            <v>2.5714285714285716</v>
          </cell>
          <cell r="J427" t="str">
            <v>Menit</v>
          </cell>
        </row>
        <row r="428">
          <cell r="D428" t="str">
            <v>- Muat</v>
          </cell>
          <cell r="F428" t="str">
            <v>= ( V/Q1 ) x 60</v>
          </cell>
          <cell r="H428" t="str">
            <v>T3</v>
          </cell>
          <cell r="I428">
            <v>32.128514056224901</v>
          </cell>
        </row>
        <row r="429">
          <cell r="D429" t="str">
            <v>- Lain - lain</v>
          </cell>
          <cell r="H429" t="str">
            <v>T4</v>
          </cell>
          <cell r="I429">
            <v>1</v>
          </cell>
          <cell r="J429" t="str">
            <v>Menit</v>
          </cell>
        </row>
        <row r="430">
          <cell r="H430" t="str">
            <v>Ts2</v>
          </cell>
          <cell r="I430">
            <v>39.299942627653472</v>
          </cell>
        </row>
        <row r="431">
          <cell r="D431" t="str">
            <v>Kapasitas Produksi / jam</v>
          </cell>
          <cell r="F431" t="str">
            <v>V x Fa x 60</v>
          </cell>
          <cell r="H431" t="str">
            <v>Q2</v>
          </cell>
          <cell r="I431">
            <v>15.206129068989981</v>
          </cell>
          <cell r="J431" t="str">
            <v>M3/Jam</v>
          </cell>
        </row>
        <row r="432">
          <cell r="F432" t="str">
            <v>Ts2</v>
          </cell>
        </row>
        <row r="433">
          <cell r="D433" t="str">
            <v>Biaya Dump Truck / M3</v>
          </cell>
          <cell r="F433" t="str">
            <v>= (1 : Q2 ) x RpE08</v>
          </cell>
          <cell r="H433" t="str">
            <v>^Rp2</v>
          </cell>
          <cell r="I433">
            <v>13183.456598649471</v>
          </cell>
          <cell r="J433" t="str">
            <v>Rupiah</v>
          </cell>
        </row>
        <row r="435">
          <cell r="C435" t="str">
            <v>IV</v>
          </cell>
          <cell r="D435" t="str">
            <v>HARGA SATUAN DASAR BAHAN</v>
          </cell>
        </row>
        <row r="436">
          <cell r="D436" t="str">
            <v>Harga Satuan Dasar Sirtu</v>
          </cell>
          <cell r="F436" t="str">
            <v>= ( Rp M16 + Rp1 + Rp2 )</v>
          </cell>
          <cell r="H436" t="str">
            <v>M16</v>
          </cell>
          <cell r="I436">
            <v>31953.093688781184</v>
          </cell>
          <cell r="J436" t="str">
            <v>Rupiah</v>
          </cell>
        </row>
        <row r="438">
          <cell r="D438" t="str">
            <v>Dibulatkan</v>
          </cell>
          <cell r="H438" t="str">
            <v>M16</v>
          </cell>
          <cell r="I438">
            <v>32000</v>
          </cell>
          <cell r="J438" t="str">
            <v>Rupiah</v>
          </cell>
        </row>
        <row r="441">
          <cell r="A441" t="str">
            <v>|::</v>
          </cell>
        </row>
        <row r="442">
          <cell r="C442" t="str">
            <v>Jenis      : M16.a - Sirtu</v>
          </cell>
        </row>
        <row r="443">
          <cell r="C443" t="str">
            <v>Lokasi    : Quarry II (Genting Gerbang)</v>
          </cell>
        </row>
        <row r="444">
          <cell r="C444" t="str">
            <v>Tujuan   :  Base Camp  II  ( Stone Crusher)</v>
          </cell>
        </row>
        <row r="445">
          <cell r="C445" t="str">
            <v>No</v>
          </cell>
          <cell r="D445" t="str">
            <v>URAIAN</v>
          </cell>
          <cell r="H445" t="str">
            <v>KODE</v>
          </cell>
          <cell r="I445" t="str">
            <v>KOEF.</v>
          </cell>
          <cell r="J445" t="str">
            <v>SATUAN</v>
          </cell>
          <cell r="K445" t="str">
            <v>HARGA SATUAN</v>
          </cell>
        </row>
        <row r="446">
          <cell r="K446" t="str">
            <v>( Rp )</v>
          </cell>
        </row>
        <row r="447">
          <cell r="C447" t="str">
            <v>I.</v>
          </cell>
          <cell r="D447" t="str">
            <v>ASUMSI</v>
          </cell>
        </row>
        <row r="448">
          <cell r="C448">
            <v>1</v>
          </cell>
          <cell r="D448" t="str">
            <v xml:space="preserve">Menggunakan alat berat </v>
          </cell>
        </row>
        <row r="449">
          <cell r="C449">
            <v>2</v>
          </cell>
          <cell r="D449" t="str">
            <v>Kondisi existing Jalan : Kondisi Baik (Sedang)</v>
          </cell>
        </row>
        <row r="450">
          <cell r="C450">
            <v>3</v>
          </cell>
          <cell r="D450" t="str">
            <v>Jarak rata - rata Quarry Kelokasi Base Camp I (Stone Crusher)</v>
          </cell>
          <cell r="H450" t="str">
            <v>L</v>
          </cell>
          <cell r="I450">
            <v>1.5</v>
          </cell>
          <cell r="J450" t="str">
            <v>Km</v>
          </cell>
        </row>
        <row r="451">
          <cell r="C451">
            <v>4</v>
          </cell>
          <cell r="D451" t="str">
            <v>Harga Satuan Sirtu di Quarry</v>
          </cell>
          <cell r="H451" t="str">
            <v>Rp M16</v>
          </cell>
          <cell r="I451">
            <v>1</v>
          </cell>
          <cell r="J451" t="str">
            <v>M3</v>
          </cell>
          <cell r="K451">
            <v>5000</v>
          </cell>
        </row>
        <row r="452">
          <cell r="C452">
            <v>5</v>
          </cell>
          <cell r="D452" t="str">
            <v>Harga Satuan Dasar Excavator</v>
          </cell>
          <cell r="H452" t="str">
            <v>Rp E10</v>
          </cell>
          <cell r="I452">
            <v>1</v>
          </cell>
          <cell r="J452" t="str">
            <v>Jam</v>
          </cell>
          <cell r="K452">
            <v>263757.56718985166</v>
          </cell>
        </row>
        <row r="453">
          <cell r="C453">
            <v>6</v>
          </cell>
          <cell r="D453" t="str">
            <v>Harga Satuan Dasar Dump Truck</v>
          </cell>
          <cell r="H453" t="str">
            <v>Rp E09a</v>
          </cell>
          <cell r="I453">
            <v>1</v>
          </cell>
          <cell r="J453" t="str">
            <v>Jam</v>
          </cell>
          <cell r="K453">
            <v>200469.3426144915</v>
          </cell>
        </row>
        <row r="455">
          <cell r="C455" t="str">
            <v>II</v>
          </cell>
          <cell r="D455" t="str">
            <v>URUTAN KERJA</v>
          </cell>
        </row>
        <row r="456">
          <cell r="C456">
            <v>1</v>
          </cell>
          <cell r="D456" t="str">
            <v>Sirtu digali dengan alat Excavator dan sekaligus memuat Sirtu yang</v>
          </cell>
        </row>
        <row r="457">
          <cell r="D457" t="str">
            <v>di gali kedalam Dump Truck</v>
          </cell>
        </row>
        <row r="458">
          <cell r="C458">
            <v>2</v>
          </cell>
          <cell r="D458" t="str">
            <v>Dump Truck mengangkut Ke Base Camp I (Stone Crusher)</v>
          </cell>
        </row>
        <row r="460">
          <cell r="C460" t="str">
            <v>III</v>
          </cell>
          <cell r="D460" t="str">
            <v>PERHITUNGAN</v>
          </cell>
        </row>
        <row r="461">
          <cell r="C461">
            <v>1</v>
          </cell>
          <cell r="D461" t="str">
            <v>Excavator</v>
          </cell>
          <cell r="H461" t="str">
            <v>(E10)</v>
          </cell>
        </row>
        <row r="462">
          <cell r="D462" t="str">
            <v>Kapasitas Bucket</v>
          </cell>
          <cell r="H462" t="str">
            <v>V</v>
          </cell>
          <cell r="I462">
            <v>0.5</v>
          </cell>
          <cell r="J462" t="str">
            <v>M3</v>
          </cell>
        </row>
        <row r="463">
          <cell r="D463" t="str">
            <v>Faktor Bucket</v>
          </cell>
          <cell r="H463" t="str">
            <v>Fb</v>
          </cell>
          <cell r="I463">
            <v>0.9</v>
          </cell>
          <cell r="J463" t="str">
            <v>-</v>
          </cell>
        </row>
        <row r="464">
          <cell r="D464" t="str">
            <v>Faktor Efisiensi alat</v>
          </cell>
          <cell r="H464" t="str">
            <v>Fa</v>
          </cell>
          <cell r="I464">
            <v>0.83</v>
          </cell>
          <cell r="J464" t="str">
            <v>-</v>
          </cell>
        </row>
        <row r="465">
          <cell r="D465" t="str">
            <v>Waktu Siklus</v>
          </cell>
          <cell r="H465" t="str">
            <v>Ts1</v>
          </cell>
        </row>
        <row r="466">
          <cell r="D466" t="str">
            <v>- Menggali/Memuat</v>
          </cell>
          <cell r="H466" t="str">
            <v>T1</v>
          </cell>
          <cell r="I466">
            <v>0.5</v>
          </cell>
          <cell r="J466" t="str">
            <v>menit</v>
          </cell>
        </row>
        <row r="467">
          <cell r="D467" t="str">
            <v>- Lain-lain</v>
          </cell>
          <cell r="H467" t="str">
            <v>T2</v>
          </cell>
          <cell r="I467">
            <v>0.5</v>
          </cell>
          <cell r="J467" t="str">
            <v>menit</v>
          </cell>
        </row>
        <row r="468">
          <cell r="H468" t="str">
            <v>Ts1</v>
          </cell>
          <cell r="I468">
            <v>1</v>
          </cell>
          <cell r="J468" t="str">
            <v>menit</v>
          </cell>
        </row>
        <row r="469">
          <cell r="D469" t="str">
            <v>Kapasitas Produksi / jam</v>
          </cell>
          <cell r="F469" t="str">
            <v>V x Fb x Fa x 60</v>
          </cell>
          <cell r="H469" t="str">
            <v>Q1</v>
          </cell>
          <cell r="I469">
            <v>22.41</v>
          </cell>
          <cell r="J469" t="str">
            <v>M3/Jam</v>
          </cell>
        </row>
        <row r="470">
          <cell r="F470" t="str">
            <v>Ts1</v>
          </cell>
        </row>
        <row r="471">
          <cell r="D471" t="str">
            <v>Biaya Excavator / M3</v>
          </cell>
          <cell r="F471" t="str">
            <v>= (1 : Q1 ) x RpE10</v>
          </cell>
          <cell r="H471" t="str">
            <v>^Rp1</v>
          </cell>
          <cell r="I471">
            <v>8769.6370901317114</v>
          </cell>
          <cell r="J471" t="str">
            <v>Rupiah</v>
          </cell>
        </row>
        <row r="473">
          <cell r="C473">
            <v>2</v>
          </cell>
          <cell r="D473" t="str">
            <v>Dump Truck</v>
          </cell>
          <cell r="H473" t="str">
            <v>(E09a)</v>
          </cell>
        </row>
        <row r="474">
          <cell r="D474" t="str">
            <v>Kapsitas Bak</v>
          </cell>
          <cell r="H474" t="str">
            <v>V</v>
          </cell>
          <cell r="I474">
            <v>12</v>
          </cell>
          <cell r="J474" t="str">
            <v>M3</v>
          </cell>
        </row>
        <row r="475">
          <cell r="D475" t="str">
            <v>Faktor efesiaensi alat</v>
          </cell>
          <cell r="H475" t="str">
            <v>Fa</v>
          </cell>
          <cell r="I475">
            <v>0.83</v>
          </cell>
          <cell r="J475" t="str">
            <v>-</v>
          </cell>
        </row>
        <row r="476">
          <cell r="D476" t="str">
            <v>Kecepatan Rata-rata Bermuatan</v>
          </cell>
          <cell r="H476" t="str">
            <v>v1</v>
          </cell>
          <cell r="I476">
            <v>25</v>
          </cell>
          <cell r="J476" t="str">
            <v>Km/Jam</v>
          </cell>
        </row>
        <row r="477">
          <cell r="D477" t="str">
            <v>Kecepatan Rata-rata Kosong</v>
          </cell>
          <cell r="H477" t="str">
            <v>v2</v>
          </cell>
          <cell r="I477">
            <v>35</v>
          </cell>
          <cell r="J477" t="str">
            <v>Km/Jam</v>
          </cell>
        </row>
        <row r="478">
          <cell r="D478" t="str">
            <v>Waktu Siklus</v>
          </cell>
          <cell r="H478" t="str">
            <v>Ts2</v>
          </cell>
          <cell r="J478" t="str">
            <v>Menit</v>
          </cell>
        </row>
        <row r="479">
          <cell r="D479" t="str">
            <v>- Waktu Tempuh isi</v>
          </cell>
          <cell r="F479" t="str">
            <v>= ( L/v1 ) x 60</v>
          </cell>
          <cell r="H479" t="str">
            <v>T1</v>
          </cell>
          <cell r="I479">
            <v>3.5999999999999996</v>
          </cell>
          <cell r="J479" t="str">
            <v>Menit</v>
          </cell>
        </row>
        <row r="480">
          <cell r="D480" t="str">
            <v>- Waktu Tempuh Kosong</v>
          </cell>
          <cell r="F480" t="str">
            <v>= ( L/v2 ) x 60</v>
          </cell>
          <cell r="H480" t="str">
            <v>T2</v>
          </cell>
          <cell r="I480">
            <v>2.5714285714285716</v>
          </cell>
          <cell r="J480" t="str">
            <v>Menit</v>
          </cell>
        </row>
        <row r="481">
          <cell r="D481" t="str">
            <v>- Muat</v>
          </cell>
          <cell r="F481" t="str">
            <v>= ( V/Q1 ) x 60</v>
          </cell>
          <cell r="H481" t="str">
            <v>T3</v>
          </cell>
          <cell r="I481">
            <v>32.128514056224901</v>
          </cell>
        </row>
        <row r="482">
          <cell r="D482" t="str">
            <v>- Lain - lain</v>
          </cell>
          <cell r="H482" t="str">
            <v>T4</v>
          </cell>
          <cell r="I482">
            <v>1</v>
          </cell>
          <cell r="J482" t="str">
            <v>Menit</v>
          </cell>
        </row>
        <row r="483">
          <cell r="H483" t="str">
            <v>Ts2</v>
          </cell>
          <cell r="I483">
            <v>39.299942627653472</v>
          </cell>
        </row>
        <row r="484">
          <cell r="D484" t="str">
            <v>Kapasitas Produksi / jam</v>
          </cell>
          <cell r="F484" t="str">
            <v>V x Fa x 60</v>
          </cell>
          <cell r="H484" t="str">
            <v>Q2</v>
          </cell>
          <cell r="I484">
            <v>15.206129068989981</v>
          </cell>
          <cell r="J484" t="str">
            <v>M3/Jam</v>
          </cell>
        </row>
        <row r="485">
          <cell r="F485" t="str">
            <v>Ts2</v>
          </cell>
        </row>
        <row r="486">
          <cell r="D486" t="str">
            <v>Biaya Dump Truck / M3</v>
          </cell>
          <cell r="F486" t="str">
            <v>= (1 : Q2 ) x RpE08</v>
          </cell>
          <cell r="H486" t="str">
            <v>^Rp2</v>
          </cell>
          <cell r="I486">
            <v>10183.456598649471</v>
          </cell>
          <cell r="J486" t="str">
            <v>Rupiah</v>
          </cell>
        </row>
        <row r="488">
          <cell r="C488" t="str">
            <v>IV</v>
          </cell>
          <cell r="D488" t="str">
            <v>HARGA SATUAN DASAR BAHAN</v>
          </cell>
        </row>
        <row r="489">
          <cell r="D489" t="str">
            <v>Harga Satuan Dasar Sirtu</v>
          </cell>
          <cell r="F489" t="str">
            <v>= ( Rp M16 + Rp1 + Rp2 )</v>
          </cell>
          <cell r="H489" t="str">
            <v>M16</v>
          </cell>
          <cell r="I489">
            <v>23953.093688781184</v>
          </cell>
          <cell r="J489" t="str">
            <v>Rupiah</v>
          </cell>
        </row>
        <row r="491">
          <cell r="D491" t="str">
            <v>Dibulatkan</v>
          </cell>
          <cell r="H491" t="str">
            <v>M16</v>
          </cell>
          <cell r="I491">
            <v>24000</v>
          </cell>
          <cell r="J491" t="str">
            <v>Rupiah</v>
          </cell>
        </row>
        <row r="494">
          <cell r="A494" t="str">
            <v>|::</v>
          </cell>
        </row>
        <row r="495">
          <cell r="C495" t="str">
            <v>Jenis      : M44 - Pasir Urug</v>
          </cell>
        </row>
        <row r="496">
          <cell r="C496" t="str">
            <v>Lokasi    : Quarry II (Genting Gerbang)</v>
          </cell>
        </row>
        <row r="497">
          <cell r="C497" t="str">
            <v>Tujuan   : Lokasi Pekerjaan</v>
          </cell>
        </row>
        <row r="498">
          <cell r="C498" t="str">
            <v>No</v>
          </cell>
          <cell r="D498" t="str">
            <v>URAIAN</v>
          </cell>
          <cell r="H498" t="str">
            <v>KODE</v>
          </cell>
          <cell r="I498" t="str">
            <v>KOEF.</v>
          </cell>
          <cell r="J498" t="str">
            <v>SATUAN</v>
          </cell>
          <cell r="K498" t="str">
            <v>HARGA SATUAN</v>
          </cell>
        </row>
        <row r="499">
          <cell r="K499" t="str">
            <v>( Rp )</v>
          </cell>
        </row>
        <row r="500">
          <cell r="C500" t="str">
            <v>I.</v>
          </cell>
          <cell r="D500" t="str">
            <v>ASUMSI</v>
          </cell>
        </row>
        <row r="501">
          <cell r="C501">
            <v>1</v>
          </cell>
          <cell r="D501" t="str">
            <v xml:space="preserve">Menggunakan alat berat </v>
          </cell>
        </row>
        <row r="502">
          <cell r="C502">
            <v>2</v>
          </cell>
          <cell r="D502" t="str">
            <v>Kondisi existing Jalan : Kondisi Baik (Sedang)</v>
          </cell>
        </row>
        <row r="503">
          <cell r="C503">
            <v>3</v>
          </cell>
          <cell r="D503" t="str">
            <v>Jarak rata - rata Quarry ke Lokasi Pekerjaan</v>
          </cell>
          <cell r="H503" t="str">
            <v>L</v>
          </cell>
          <cell r="I503">
            <v>1.5</v>
          </cell>
          <cell r="J503" t="str">
            <v>Km</v>
          </cell>
        </row>
        <row r="504">
          <cell r="C504">
            <v>4</v>
          </cell>
          <cell r="D504" t="str">
            <v>Harga Satuan Pasir Urug di Quarry</v>
          </cell>
          <cell r="H504" t="str">
            <v>Rp M44</v>
          </cell>
          <cell r="I504">
            <v>1</v>
          </cell>
          <cell r="J504" t="str">
            <v>M3</v>
          </cell>
          <cell r="K504">
            <v>4000</v>
          </cell>
        </row>
        <row r="505">
          <cell r="C505">
            <v>5</v>
          </cell>
          <cell r="D505" t="str">
            <v>Harga Satuan Dasar Excavator</v>
          </cell>
          <cell r="H505" t="str">
            <v>Rp E10</v>
          </cell>
          <cell r="I505">
            <v>1</v>
          </cell>
          <cell r="J505" t="str">
            <v>Jam</v>
          </cell>
          <cell r="K505">
            <v>263757.56718985166</v>
          </cell>
        </row>
        <row r="506">
          <cell r="C506">
            <v>6</v>
          </cell>
          <cell r="D506" t="str">
            <v>Harga Satuan Dasar Dump Truck</v>
          </cell>
          <cell r="H506" t="str">
            <v>Rp E09a</v>
          </cell>
          <cell r="I506">
            <v>1</v>
          </cell>
          <cell r="J506" t="str">
            <v>Jam</v>
          </cell>
          <cell r="K506">
            <v>200469.3426144915</v>
          </cell>
        </row>
        <row r="508">
          <cell r="C508" t="str">
            <v>II</v>
          </cell>
          <cell r="D508" t="str">
            <v>URUTAN KERJA</v>
          </cell>
        </row>
        <row r="509">
          <cell r="C509">
            <v>1</v>
          </cell>
          <cell r="D509" t="str">
            <v>Pasir Urug digali dengan alat Excavator dan sekaligus memuat Pasir Urug</v>
          </cell>
        </row>
        <row r="510">
          <cell r="D510" t="str">
            <v>yang di gali  kedalam Dump Truck</v>
          </cell>
        </row>
        <row r="511">
          <cell r="C511">
            <v>2</v>
          </cell>
          <cell r="D511" t="str">
            <v>Dump Truck mengangkut ke Lokasi Pekerjaan</v>
          </cell>
        </row>
        <row r="513">
          <cell r="C513" t="str">
            <v>III</v>
          </cell>
          <cell r="D513" t="str">
            <v>PERHITUNGAN</v>
          </cell>
        </row>
        <row r="514">
          <cell r="C514">
            <v>1</v>
          </cell>
          <cell r="D514" t="str">
            <v>Excavator</v>
          </cell>
          <cell r="H514" t="str">
            <v>(E10)</v>
          </cell>
        </row>
        <row r="515">
          <cell r="D515" t="str">
            <v>Kapasitas Bucket</v>
          </cell>
          <cell r="H515" t="str">
            <v>V</v>
          </cell>
          <cell r="I515">
            <v>0.5</v>
          </cell>
          <cell r="J515" t="str">
            <v>M3</v>
          </cell>
        </row>
        <row r="516">
          <cell r="D516" t="str">
            <v>Faktor Bucket</v>
          </cell>
          <cell r="H516" t="str">
            <v>Fb</v>
          </cell>
          <cell r="I516">
            <v>0.9</v>
          </cell>
          <cell r="J516" t="str">
            <v>-</v>
          </cell>
        </row>
        <row r="517">
          <cell r="D517" t="str">
            <v>Faktor Efisiensi alat</v>
          </cell>
          <cell r="H517" t="str">
            <v>Fa</v>
          </cell>
          <cell r="I517">
            <v>0.83</v>
          </cell>
          <cell r="J517" t="str">
            <v>-</v>
          </cell>
        </row>
        <row r="518">
          <cell r="D518" t="str">
            <v>Waktu Siklus</v>
          </cell>
          <cell r="H518" t="str">
            <v>Ts1</v>
          </cell>
        </row>
        <row r="519">
          <cell r="D519" t="str">
            <v>- Menggali/Memuat</v>
          </cell>
          <cell r="H519" t="str">
            <v>T1</v>
          </cell>
          <cell r="I519">
            <v>0.5</v>
          </cell>
          <cell r="J519" t="str">
            <v>menit</v>
          </cell>
        </row>
        <row r="520">
          <cell r="D520" t="str">
            <v>- Lain-lain</v>
          </cell>
          <cell r="H520" t="str">
            <v>T2</v>
          </cell>
          <cell r="I520">
            <v>0.5</v>
          </cell>
          <cell r="J520" t="str">
            <v>menit</v>
          </cell>
        </row>
        <row r="521">
          <cell r="H521" t="str">
            <v>Ts1</v>
          </cell>
          <cell r="I521">
            <v>1</v>
          </cell>
          <cell r="J521" t="str">
            <v>menit</v>
          </cell>
        </row>
        <row r="522">
          <cell r="D522" t="str">
            <v>Kapasitas Produksi / jam</v>
          </cell>
          <cell r="F522" t="str">
            <v>V x Fb x Fa x 60</v>
          </cell>
          <cell r="H522" t="str">
            <v>Q1</v>
          </cell>
          <cell r="I522">
            <v>22.41</v>
          </cell>
          <cell r="J522" t="str">
            <v>M3/Jam</v>
          </cell>
        </row>
        <row r="523">
          <cell r="F523" t="str">
            <v>Ts1</v>
          </cell>
        </row>
        <row r="524">
          <cell r="D524" t="str">
            <v>Biaya Excavator / M3</v>
          </cell>
          <cell r="F524" t="str">
            <v>= (1 : Q1 ) x RpE10</v>
          </cell>
          <cell r="H524" t="str">
            <v>^Rp1</v>
          </cell>
          <cell r="I524">
            <v>11769.637090131711</v>
          </cell>
          <cell r="J524" t="str">
            <v>Rupiah</v>
          </cell>
        </row>
        <row r="526">
          <cell r="C526">
            <v>2</v>
          </cell>
          <cell r="D526" t="str">
            <v>Dump Truck</v>
          </cell>
          <cell r="H526" t="str">
            <v>(E09a)</v>
          </cell>
        </row>
        <row r="527">
          <cell r="D527" t="str">
            <v>Kapsitas Bak</v>
          </cell>
          <cell r="H527" t="str">
            <v>V</v>
          </cell>
          <cell r="I527">
            <v>12</v>
          </cell>
          <cell r="J527" t="str">
            <v>M3</v>
          </cell>
        </row>
        <row r="528">
          <cell r="D528" t="str">
            <v>Faktor efesiaensi alat</v>
          </cell>
          <cell r="H528" t="str">
            <v>Fa</v>
          </cell>
          <cell r="I528">
            <v>0.83</v>
          </cell>
          <cell r="J528" t="str">
            <v>-</v>
          </cell>
        </row>
        <row r="529">
          <cell r="D529" t="str">
            <v>Kecepatan Rata-rata Bermuatan</v>
          </cell>
          <cell r="H529" t="str">
            <v>v1</v>
          </cell>
          <cell r="I529">
            <v>25</v>
          </cell>
          <cell r="J529" t="str">
            <v>Km/Jam</v>
          </cell>
        </row>
        <row r="530">
          <cell r="D530" t="str">
            <v>Kecepatan Rata-rata Kosong</v>
          </cell>
          <cell r="H530" t="str">
            <v>v2</v>
          </cell>
          <cell r="I530">
            <v>35</v>
          </cell>
          <cell r="J530" t="str">
            <v>Km/Jam</v>
          </cell>
        </row>
        <row r="531">
          <cell r="D531" t="str">
            <v>Waktu Siklus</v>
          </cell>
          <cell r="H531" t="str">
            <v>Ts2</v>
          </cell>
          <cell r="J531" t="str">
            <v>Menit</v>
          </cell>
        </row>
        <row r="532">
          <cell r="D532" t="str">
            <v>- Waktu Tempuh isi</v>
          </cell>
          <cell r="F532" t="str">
            <v>= ( L/v1 ) x 60</v>
          </cell>
          <cell r="H532" t="str">
            <v>T1</v>
          </cell>
          <cell r="I532">
            <v>3.5999999999999996</v>
          </cell>
          <cell r="J532" t="str">
            <v>Menit</v>
          </cell>
        </row>
        <row r="533">
          <cell r="D533" t="str">
            <v>- Waktu Tempuh Kosong</v>
          </cell>
          <cell r="F533" t="str">
            <v>= ( L/v2 ) x 60</v>
          </cell>
          <cell r="H533" t="str">
            <v>T2</v>
          </cell>
          <cell r="I533">
            <v>2.5714285714285716</v>
          </cell>
          <cell r="J533" t="str">
            <v>Menit</v>
          </cell>
        </row>
        <row r="534">
          <cell r="D534" t="str">
            <v>- Muat</v>
          </cell>
          <cell r="F534" t="str">
            <v>= ( V/Q1 ) x 60</v>
          </cell>
          <cell r="H534" t="str">
            <v>T3</v>
          </cell>
          <cell r="I534">
            <v>32.128514056224901</v>
          </cell>
        </row>
        <row r="535">
          <cell r="D535" t="str">
            <v>- Lain - lain</v>
          </cell>
          <cell r="H535" t="str">
            <v>T4</v>
          </cell>
          <cell r="I535">
            <v>1</v>
          </cell>
          <cell r="J535" t="str">
            <v>Menit</v>
          </cell>
        </row>
        <row r="536">
          <cell r="H536" t="str">
            <v>Ts2</v>
          </cell>
          <cell r="I536">
            <v>39.299942627653472</v>
          </cell>
        </row>
        <row r="537">
          <cell r="D537" t="str">
            <v>Kapasitas Produksi / jam</v>
          </cell>
          <cell r="F537" t="str">
            <v>V x Fa x 60</v>
          </cell>
          <cell r="H537" t="str">
            <v>Q2</v>
          </cell>
          <cell r="I537">
            <v>15.206129068989981</v>
          </cell>
          <cell r="J537" t="str">
            <v>M3/Jam</v>
          </cell>
        </row>
        <row r="538">
          <cell r="F538" t="str">
            <v>Ts2</v>
          </cell>
        </row>
        <row r="539">
          <cell r="D539" t="str">
            <v>Biaya Dump Truck / M3</v>
          </cell>
          <cell r="F539" t="str">
            <v>= (1 : Q2 ) x RpE08</v>
          </cell>
          <cell r="H539" t="str">
            <v>^Rp2</v>
          </cell>
          <cell r="I539">
            <v>13183.456598649471</v>
          </cell>
          <cell r="J539" t="str">
            <v>Rupiah</v>
          </cell>
        </row>
        <row r="541">
          <cell r="C541" t="str">
            <v>IV</v>
          </cell>
          <cell r="D541" t="str">
            <v>HARGA SATUAN DASAR BAHAN</v>
          </cell>
        </row>
        <row r="542">
          <cell r="D542" t="str">
            <v>Harga Satuan Dasar Pasir Urug</v>
          </cell>
          <cell r="F542" t="str">
            <v>= ( Rp M44 + Rp1 + Rp2 )</v>
          </cell>
          <cell r="H542" t="str">
            <v>M44</v>
          </cell>
          <cell r="I542">
            <v>28953.093688781184</v>
          </cell>
          <cell r="J542" t="str">
            <v>Rupiah</v>
          </cell>
        </row>
        <row r="544">
          <cell r="D544" t="str">
            <v>Dibulatkan</v>
          </cell>
          <cell r="H544" t="str">
            <v>M44</v>
          </cell>
          <cell r="I544">
            <v>29000</v>
          </cell>
          <cell r="J544" t="str">
            <v>Rupiah</v>
          </cell>
        </row>
        <row r="548">
          <cell r="C548" t="str">
            <v>Jenis      : M09 - Matrial Timbunan Pilihan</v>
          </cell>
        </row>
        <row r="549">
          <cell r="C549" t="str">
            <v>Lokasi    : Quarry II (Genting Gerbang)</v>
          </cell>
        </row>
        <row r="550">
          <cell r="C550" t="str">
            <v>Tujuan   : Lokasi Pekerjaan</v>
          </cell>
        </row>
        <row r="551">
          <cell r="C551" t="str">
            <v>No</v>
          </cell>
          <cell r="D551" t="str">
            <v>URAIAN</v>
          </cell>
          <cell r="H551" t="str">
            <v>KODE</v>
          </cell>
          <cell r="I551" t="str">
            <v>KOEF.</v>
          </cell>
          <cell r="J551" t="str">
            <v>SATUAN</v>
          </cell>
          <cell r="K551" t="str">
            <v>HARGA SATUAN</v>
          </cell>
        </row>
        <row r="552">
          <cell r="K552" t="str">
            <v>( Rp )</v>
          </cell>
        </row>
        <row r="553">
          <cell r="C553" t="str">
            <v>I.</v>
          </cell>
          <cell r="D553" t="str">
            <v>ASUMSI</v>
          </cell>
        </row>
        <row r="554">
          <cell r="C554">
            <v>1</v>
          </cell>
          <cell r="D554" t="str">
            <v xml:space="preserve">Menggunakan alat berat </v>
          </cell>
        </row>
        <row r="555">
          <cell r="C555">
            <v>2</v>
          </cell>
          <cell r="D555" t="str">
            <v>Kondisi existing Jalan : Kondisi Baik (Sedang)</v>
          </cell>
        </row>
        <row r="556">
          <cell r="C556">
            <v>3</v>
          </cell>
          <cell r="D556" t="str">
            <v>Jarak rata - rata Quarry ke Lokasi Pekerjaan</v>
          </cell>
          <cell r="H556" t="str">
            <v>L</v>
          </cell>
          <cell r="I556">
            <v>1.5</v>
          </cell>
          <cell r="J556" t="str">
            <v>Km</v>
          </cell>
        </row>
        <row r="557">
          <cell r="C557">
            <v>4</v>
          </cell>
          <cell r="D557" t="str">
            <v>Harga Satuan Matrial Pilihan di Quarry</v>
          </cell>
          <cell r="H557" t="str">
            <v>Rp M09</v>
          </cell>
          <cell r="I557">
            <v>1</v>
          </cell>
          <cell r="J557" t="str">
            <v>M3</v>
          </cell>
          <cell r="K557">
            <v>5000</v>
          </cell>
        </row>
        <row r="558">
          <cell r="C558">
            <v>5</v>
          </cell>
          <cell r="D558" t="str">
            <v>Harga Satuan Dasar Excavator</v>
          </cell>
          <cell r="H558" t="str">
            <v>Rp E10</v>
          </cell>
          <cell r="I558">
            <v>1</v>
          </cell>
          <cell r="J558" t="str">
            <v>Jam</v>
          </cell>
          <cell r="K558">
            <v>263757.56718985166</v>
          </cell>
        </row>
        <row r="559">
          <cell r="C559">
            <v>6</v>
          </cell>
          <cell r="D559" t="str">
            <v>Harga Satuan Dasar Dump Truck</v>
          </cell>
          <cell r="H559" t="str">
            <v>Rp E09a</v>
          </cell>
          <cell r="I559">
            <v>1</v>
          </cell>
          <cell r="J559" t="str">
            <v>Jam</v>
          </cell>
          <cell r="K559">
            <v>200469.3426144915</v>
          </cell>
        </row>
        <row r="561">
          <cell r="C561" t="str">
            <v>II</v>
          </cell>
          <cell r="D561" t="str">
            <v>URUTAN KERJA</v>
          </cell>
        </row>
        <row r="562">
          <cell r="C562">
            <v>1</v>
          </cell>
          <cell r="D562" t="str">
            <v xml:space="preserve">Material Timbunan Pilihan digali dengan alat Excavator dan sekaligus </v>
          </cell>
        </row>
        <row r="563">
          <cell r="D563" t="str">
            <v>memuat Material Timbunan Pilihan yang di gali kedalam Dump Truck</v>
          </cell>
        </row>
        <row r="564">
          <cell r="C564">
            <v>2</v>
          </cell>
          <cell r="D564" t="str">
            <v>Dump Truck mengangkut ke Lokasi Pekerjaan</v>
          </cell>
        </row>
        <row r="566">
          <cell r="C566" t="str">
            <v>III</v>
          </cell>
          <cell r="D566" t="str">
            <v>PERHITUNGAN</v>
          </cell>
        </row>
        <row r="567">
          <cell r="C567">
            <v>1</v>
          </cell>
          <cell r="D567" t="str">
            <v>Excavator</v>
          </cell>
          <cell r="H567" t="str">
            <v>(E10)</v>
          </cell>
        </row>
        <row r="568">
          <cell r="D568" t="str">
            <v>Kapasitas Bucket</v>
          </cell>
          <cell r="H568" t="str">
            <v>V</v>
          </cell>
          <cell r="I568">
            <v>0.5</v>
          </cell>
          <cell r="J568" t="str">
            <v>M3</v>
          </cell>
        </row>
        <row r="569">
          <cell r="D569" t="str">
            <v>Faktor Bucket</v>
          </cell>
          <cell r="H569" t="str">
            <v>Fb</v>
          </cell>
          <cell r="I569">
            <v>0.9</v>
          </cell>
          <cell r="J569" t="str">
            <v>-</v>
          </cell>
        </row>
        <row r="570">
          <cell r="D570" t="str">
            <v>Faktor Efisiensi alat</v>
          </cell>
          <cell r="H570" t="str">
            <v>Fa</v>
          </cell>
          <cell r="I570">
            <v>0.83</v>
          </cell>
          <cell r="J570" t="str">
            <v>-</v>
          </cell>
        </row>
        <row r="571">
          <cell r="D571" t="str">
            <v>Waktu Siklus</v>
          </cell>
          <cell r="H571" t="str">
            <v>Ts1</v>
          </cell>
        </row>
        <row r="572">
          <cell r="D572" t="str">
            <v>- Menggali/Memuat</v>
          </cell>
          <cell r="H572" t="str">
            <v>T1</v>
          </cell>
          <cell r="I572">
            <v>0.5</v>
          </cell>
          <cell r="J572" t="str">
            <v>menit</v>
          </cell>
        </row>
        <row r="573">
          <cell r="D573" t="str">
            <v>- Lain-lain</v>
          </cell>
          <cell r="H573" t="str">
            <v>T2</v>
          </cell>
          <cell r="I573">
            <v>0.5</v>
          </cell>
          <cell r="J573" t="str">
            <v>menit</v>
          </cell>
        </row>
        <row r="574">
          <cell r="H574" t="str">
            <v>Ts1</v>
          </cell>
          <cell r="I574">
            <v>1</v>
          </cell>
          <cell r="J574" t="str">
            <v>menit</v>
          </cell>
        </row>
        <row r="575">
          <cell r="D575" t="str">
            <v>Kapasitas Produksi / jam</v>
          </cell>
          <cell r="F575" t="str">
            <v>V x Fb x Fa x 60</v>
          </cell>
          <cell r="H575" t="str">
            <v>Q1</v>
          </cell>
          <cell r="I575">
            <v>22.41</v>
          </cell>
          <cell r="J575" t="str">
            <v>M3/Jam</v>
          </cell>
        </row>
        <row r="576">
          <cell r="F576" t="str">
            <v>Ts1</v>
          </cell>
        </row>
        <row r="577">
          <cell r="D577" t="str">
            <v>Biaya Excavator / M3</v>
          </cell>
          <cell r="F577" t="str">
            <v>= (1 : Q1 ) x RpE10</v>
          </cell>
          <cell r="H577" t="str">
            <v>^Rp1</v>
          </cell>
          <cell r="I577">
            <v>8769.6370901317114</v>
          </cell>
          <cell r="J577" t="str">
            <v>Rupiah</v>
          </cell>
        </row>
        <row r="579">
          <cell r="C579">
            <v>2</v>
          </cell>
          <cell r="D579" t="str">
            <v>Dump Truck</v>
          </cell>
          <cell r="H579" t="str">
            <v>(E09a)</v>
          </cell>
        </row>
        <row r="580">
          <cell r="D580" t="str">
            <v>Kapsitas Bak</v>
          </cell>
          <cell r="H580" t="str">
            <v>V</v>
          </cell>
          <cell r="I580">
            <v>12</v>
          </cell>
          <cell r="J580" t="str">
            <v>M3</v>
          </cell>
        </row>
        <row r="581">
          <cell r="D581" t="str">
            <v>Faktor efesiaensi alat</v>
          </cell>
          <cell r="H581" t="str">
            <v>Fa</v>
          </cell>
          <cell r="I581">
            <v>0.83</v>
          </cell>
          <cell r="J581" t="str">
            <v>-</v>
          </cell>
        </row>
        <row r="582">
          <cell r="D582" t="str">
            <v>Kecepatan Rata-rata Bermuatan</v>
          </cell>
          <cell r="H582" t="str">
            <v>v1</v>
          </cell>
          <cell r="I582">
            <v>15</v>
          </cell>
          <cell r="J582" t="str">
            <v>Km/Jam</v>
          </cell>
        </row>
        <row r="583">
          <cell r="D583" t="str">
            <v>Kecepatan Rata-rata Kosong</v>
          </cell>
          <cell r="H583" t="str">
            <v>v2</v>
          </cell>
          <cell r="I583">
            <v>30</v>
          </cell>
          <cell r="J583" t="str">
            <v>Km/Jam</v>
          </cell>
        </row>
        <row r="584">
          <cell r="D584" t="str">
            <v>Waktu Siklus</v>
          </cell>
          <cell r="H584" t="str">
            <v>Ts2</v>
          </cell>
          <cell r="J584" t="str">
            <v>Menit</v>
          </cell>
        </row>
        <row r="585">
          <cell r="D585" t="str">
            <v>- Waktu Tempuh isi</v>
          </cell>
          <cell r="F585" t="str">
            <v>= ( L/v1 ) x 60</v>
          </cell>
          <cell r="H585" t="str">
            <v>T1</v>
          </cell>
          <cell r="I585">
            <v>6</v>
          </cell>
          <cell r="J585" t="str">
            <v>Menit</v>
          </cell>
        </row>
        <row r="586">
          <cell r="D586" t="str">
            <v>- Waktu Tempuh Kosong</v>
          </cell>
          <cell r="F586" t="str">
            <v>= ( L/v2 ) x 60</v>
          </cell>
          <cell r="H586" t="str">
            <v>T2</v>
          </cell>
          <cell r="I586">
            <v>3</v>
          </cell>
          <cell r="J586" t="str">
            <v>Menit</v>
          </cell>
        </row>
        <row r="587">
          <cell r="D587" t="str">
            <v>- Muat</v>
          </cell>
          <cell r="F587" t="str">
            <v>= ( V/Q1 ) x 60</v>
          </cell>
          <cell r="H587" t="str">
            <v>T3</v>
          </cell>
          <cell r="I587">
            <v>32.128514056224901</v>
          </cell>
        </row>
        <row r="588">
          <cell r="D588" t="str">
            <v>- Lain - lain</v>
          </cell>
          <cell r="H588" t="str">
            <v>T4</v>
          </cell>
          <cell r="I588">
            <v>1</v>
          </cell>
          <cell r="J588" t="str">
            <v>Menit</v>
          </cell>
        </row>
        <row r="589">
          <cell r="H589" t="str">
            <v>Ts2</v>
          </cell>
          <cell r="I589">
            <v>42.128514056224901</v>
          </cell>
        </row>
        <row r="590">
          <cell r="D590" t="str">
            <v>Kapasitas Produksi / jam</v>
          </cell>
          <cell r="F590" t="str">
            <v>V x Fa x 60</v>
          </cell>
          <cell r="H590" t="str">
            <v>Q2</v>
          </cell>
          <cell r="I590">
            <v>15.185166825548139</v>
          </cell>
          <cell r="J590" t="str">
            <v>M3/Jam</v>
          </cell>
        </row>
        <row r="591">
          <cell r="F591" t="str">
            <v>Ts2</v>
          </cell>
        </row>
        <row r="592">
          <cell r="D592" t="str">
            <v>Biaya Dump Truck / M3</v>
          </cell>
          <cell r="F592" t="str">
            <v>= (1 : Q2 ) x RpE08</v>
          </cell>
          <cell r="H592" t="str">
            <v>^Rp2</v>
          </cell>
          <cell r="I592">
            <v>10201.655597040513</v>
          </cell>
          <cell r="J592" t="str">
            <v>Rupiah</v>
          </cell>
        </row>
        <row r="594">
          <cell r="C594" t="str">
            <v>IV</v>
          </cell>
          <cell r="D594" t="str">
            <v>HARGA SATUAN DASAR BAHAN</v>
          </cell>
        </row>
        <row r="595">
          <cell r="D595" t="str">
            <v>Harga Satuan Timb. Pilihan</v>
          </cell>
          <cell r="F595" t="str">
            <v>= ( Rp M09 + Rp1 + Rp2 )</v>
          </cell>
          <cell r="H595" t="str">
            <v>M44</v>
          </cell>
          <cell r="I595">
            <v>23971.292687172223</v>
          </cell>
          <cell r="J595" t="str">
            <v>Rupiah</v>
          </cell>
        </row>
        <row r="597">
          <cell r="D597" t="str">
            <v>Dibulatkan</v>
          </cell>
          <cell r="H597" t="str">
            <v>M44</v>
          </cell>
          <cell r="I597">
            <v>24000</v>
          </cell>
          <cell r="J597" t="str">
            <v>Rupiah</v>
          </cell>
        </row>
        <row r="600">
          <cell r="A600" t="str">
            <v>|::</v>
          </cell>
        </row>
        <row r="601">
          <cell r="C601" t="str">
            <v>Item Pembayaran          : Aggregat Kasar dan Halus</v>
          </cell>
        </row>
        <row r="602">
          <cell r="C602" t="str">
            <v>Jenis Pekerjaan             : Pengadaan Aggregat Kasar dan Halus untuk Aspal Aston (AC-BC)</v>
          </cell>
        </row>
        <row r="603">
          <cell r="C603" t="str">
            <v>Satuan Pekerjaan           : M3</v>
          </cell>
        </row>
        <row r="604">
          <cell r="C604" t="str">
            <v>No</v>
          </cell>
          <cell r="D604" t="str">
            <v>URAIAN</v>
          </cell>
          <cell r="H604" t="str">
            <v>KODE</v>
          </cell>
          <cell r="I604" t="str">
            <v>KOEF.</v>
          </cell>
          <cell r="J604" t="str">
            <v>SATUAN</v>
          </cell>
          <cell r="K604" t="str">
            <v>HARGA SATUAN</v>
          </cell>
        </row>
        <row r="605">
          <cell r="K605" t="str">
            <v>( Rp )</v>
          </cell>
        </row>
        <row r="606">
          <cell r="C606" t="str">
            <v>I.</v>
          </cell>
          <cell r="D606" t="str">
            <v>ASUMSI</v>
          </cell>
        </row>
        <row r="607">
          <cell r="C607">
            <v>1</v>
          </cell>
          <cell r="D607" t="str">
            <v>Bahan dasar adalah batu dan pasir, diterima di Base Camp I (Stone Crusher)</v>
          </cell>
        </row>
        <row r="608">
          <cell r="C608">
            <v>2</v>
          </cell>
          <cell r="D608" t="str">
            <v>Kegiatan dilakukan di Base camp I (Stone Crusher)</v>
          </cell>
        </row>
        <row r="609">
          <cell r="C609">
            <v>3</v>
          </cell>
          <cell r="D609" t="str">
            <v>Hasil Produksi Pemecah batu :</v>
          </cell>
        </row>
        <row r="610">
          <cell r="D610" t="str">
            <v xml:space="preserve">                                                   - Aggregat Halus</v>
          </cell>
          <cell r="H610" t="str">
            <v>H</v>
          </cell>
          <cell r="I610">
            <v>20</v>
          </cell>
          <cell r="J610" t="str">
            <v>%</v>
          </cell>
        </row>
        <row r="611">
          <cell r="D611" t="str">
            <v xml:space="preserve">                                                   - Aggregat Kasar</v>
          </cell>
          <cell r="H611" t="str">
            <v>K</v>
          </cell>
          <cell r="I611">
            <v>80</v>
          </cell>
          <cell r="J611" t="str">
            <v>%</v>
          </cell>
        </row>
        <row r="612">
          <cell r="C612">
            <v>4</v>
          </cell>
          <cell r="D612" t="str">
            <v>Berat Jenis Bahan  :</v>
          </cell>
        </row>
        <row r="613">
          <cell r="D613" t="str">
            <v xml:space="preserve">                                                   - Batu/Gravel</v>
          </cell>
          <cell r="H613" t="str">
            <v>D1</v>
          </cell>
          <cell r="I613">
            <v>1.8</v>
          </cell>
          <cell r="J613" t="str">
            <v>Ton/M3</v>
          </cell>
        </row>
        <row r="614">
          <cell r="D614" t="str">
            <v xml:space="preserve">                                                   - Pasir</v>
          </cell>
          <cell r="H614" t="str">
            <v>D2</v>
          </cell>
          <cell r="I614">
            <v>1.67</v>
          </cell>
          <cell r="J614" t="str">
            <v>Ton/M3</v>
          </cell>
        </row>
        <row r="615">
          <cell r="D615" t="str">
            <v xml:space="preserve">                                                   - Batu Pecah</v>
          </cell>
          <cell r="H615" t="str">
            <v>D3</v>
          </cell>
          <cell r="I615">
            <v>1.8</v>
          </cell>
          <cell r="J615" t="str">
            <v>Ton/M3</v>
          </cell>
        </row>
        <row r="616">
          <cell r="C616">
            <v>5</v>
          </cell>
          <cell r="D616" t="str">
            <v>Harga Satuan Bahan Dasar</v>
          </cell>
        </row>
        <row r="617">
          <cell r="D617" t="str">
            <v xml:space="preserve">                                                   - Batu / Gravel</v>
          </cell>
          <cell r="H617" t="str">
            <v>Rp1</v>
          </cell>
          <cell r="I617">
            <v>45675.651358411596</v>
          </cell>
          <cell r="J617" t="str">
            <v>Rp/M3</v>
          </cell>
        </row>
        <row r="618">
          <cell r="D618" t="str">
            <v xml:space="preserve">                                                   - Pasir</v>
          </cell>
          <cell r="H618" t="str">
            <v>Rp2</v>
          </cell>
          <cell r="I618">
            <v>33151.958907696593</v>
          </cell>
          <cell r="J618" t="str">
            <v>Rp/M3</v>
          </cell>
        </row>
        <row r="619">
          <cell r="C619">
            <v>6</v>
          </cell>
          <cell r="D619" t="str">
            <v>Biaya operasi alat</v>
          </cell>
        </row>
        <row r="620">
          <cell r="D620" t="str">
            <v xml:space="preserve">                              - Pemecah Batu (Stone Crusher)</v>
          </cell>
          <cell r="H620" t="str">
            <v>Rp3</v>
          </cell>
          <cell r="I620">
            <v>0</v>
          </cell>
          <cell r="J620" t="str">
            <v>Rp/Jam</v>
          </cell>
        </row>
        <row r="621">
          <cell r="D621" t="str">
            <v xml:space="preserve">                              - Whell Loader</v>
          </cell>
          <cell r="H621" t="str">
            <v>Rp4</v>
          </cell>
          <cell r="I621">
            <v>256176.66953343368</v>
          </cell>
          <cell r="J621" t="str">
            <v>Rp/Jam</v>
          </cell>
        </row>
        <row r="622">
          <cell r="C622">
            <v>7</v>
          </cell>
          <cell r="D622" t="str">
            <v>Kapasitas Alat</v>
          </cell>
        </row>
        <row r="623">
          <cell r="D623" t="str">
            <v xml:space="preserve">                              - Pemecah Batu (Stone Crusher)</v>
          </cell>
          <cell r="H623" t="str">
            <v>Cp1</v>
          </cell>
          <cell r="I623">
            <v>50</v>
          </cell>
          <cell r="J623" t="str">
            <v>Ton/Jam</v>
          </cell>
        </row>
        <row r="624">
          <cell r="D624" t="str">
            <v xml:space="preserve">                              - Whell Loader</v>
          </cell>
          <cell r="H624" t="str">
            <v>Cp2</v>
          </cell>
          <cell r="I624">
            <v>1.5</v>
          </cell>
          <cell r="J624" t="str">
            <v>M3</v>
          </cell>
          <cell r="K624" t="str">
            <v>Kap. Bucket</v>
          </cell>
        </row>
        <row r="625">
          <cell r="C625">
            <v>8</v>
          </cell>
          <cell r="D625" t="str">
            <v>Faktor Efisiensi Alat</v>
          </cell>
        </row>
        <row r="626">
          <cell r="D626" t="str">
            <v xml:space="preserve">                              - Pemecah Batu (Stone Crusher)</v>
          </cell>
          <cell r="H626" t="str">
            <v>Fa1</v>
          </cell>
          <cell r="I626">
            <v>0.7</v>
          </cell>
          <cell r="J626" t="str">
            <v>-</v>
          </cell>
        </row>
        <row r="627">
          <cell r="D627" t="str">
            <v xml:space="preserve">                              - Whell Loader</v>
          </cell>
          <cell r="H627" t="str">
            <v>Fa2</v>
          </cell>
          <cell r="I627">
            <v>0.83</v>
          </cell>
          <cell r="J627" t="str">
            <v>-</v>
          </cell>
        </row>
        <row r="628">
          <cell r="C628">
            <v>9</v>
          </cell>
          <cell r="D628" t="str">
            <v>Faktor Kehilangan Material</v>
          </cell>
          <cell r="H628" t="str">
            <v>Fh</v>
          </cell>
          <cell r="I628">
            <v>1.1000000000000001</v>
          </cell>
          <cell r="J628" t="str">
            <v>-</v>
          </cell>
        </row>
        <row r="629">
          <cell r="C629">
            <v>10</v>
          </cell>
          <cell r="D629" t="str">
            <v>Harga Satuan Aggregat kasar diambil sama dengan harga satuan aggregat</v>
          </cell>
        </row>
        <row r="630">
          <cell r="D630" t="str">
            <v>Produksi Stone Crusher</v>
          </cell>
        </row>
        <row r="631">
          <cell r="C631">
            <v>11</v>
          </cell>
          <cell r="D631" t="str">
            <v>Aggregat halus masih perlu dicampur dengan pasir</v>
          </cell>
        </row>
        <row r="633">
          <cell r="C633" t="str">
            <v>II</v>
          </cell>
          <cell r="D633" t="str">
            <v>Methode Pelaksanaan</v>
          </cell>
        </row>
        <row r="634">
          <cell r="C634">
            <v>1</v>
          </cell>
          <cell r="D634" t="str">
            <v>Wheel Loader mengangkut Batu/Gravel dari Tumpukan dan menuangkannya</v>
          </cell>
        </row>
        <row r="635">
          <cell r="D635" t="str">
            <v>ke alat pemecah batu</v>
          </cell>
        </row>
        <row r="636">
          <cell r="C636">
            <v>2</v>
          </cell>
          <cell r="D636" t="str">
            <v xml:space="preserve">Batu/Gravel dipecah dengan alat pemecah batu sehingga menghasilkan  </v>
          </cell>
        </row>
        <row r="637">
          <cell r="D637" t="str">
            <v>aggregat batu pecah</v>
          </cell>
        </row>
        <row r="639">
          <cell r="C639" t="str">
            <v>III</v>
          </cell>
          <cell r="D639" t="str">
            <v>PERHITUNGAN</v>
          </cell>
        </row>
        <row r="640">
          <cell r="D640" t="str">
            <v xml:space="preserve">Harga satuan aggregat Produksi Stone Crusher </v>
          </cell>
        </row>
        <row r="641">
          <cell r="D641" t="str">
            <v>Kerja Stone Crusher memecah Gravel</v>
          </cell>
        </row>
        <row r="642">
          <cell r="D642" t="str">
            <v xml:space="preserve"> - Waktu Kerja Stone Crusher</v>
          </cell>
          <cell r="H642" t="str">
            <v>Tst</v>
          </cell>
          <cell r="I642">
            <v>1</v>
          </cell>
          <cell r="J642" t="str">
            <v>Jam</v>
          </cell>
        </row>
        <row r="643">
          <cell r="D643" t="str">
            <v xml:space="preserve"> - Produksi Kerja Stone Crusher 1 jam = (Fa1 x Cp) : D3</v>
          </cell>
          <cell r="H643" t="str">
            <v>Qb</v>
          </cell>
          <cell r="I643">
            <v>19.444444444444443</v>
          </cell>
          <cell r="J643" t="str">
            <v>M3/jam</v>
          </cell>
          <cell r="K643" t="str">
            <v>Batu Pecah</v>
          </cell>
        </row>
        <row r="644">
          <cell r="D644" t="str">
            <v xml:space="preserve"> - Kebutuhan Gravel/Bat 1 jam</v>
          </cell>
          <cell r="F644" t="str">
            <v>= (Fa1 x Cp1) : D1</v>
          </cell>
          <cell r="H644" t="str">
            <v>Qq</v>
          </cell>
          <cell r="I644">
            <v>19.444444444444443</v>
          </cell>
          <cell r="J644" t="str">
            <v>M3/jam</v>
          </cell>
        </row>
        <row r="646">
          <cell r="D646" t="str">
            <v>Whell Loader Melayani Stone Crusher  :</v>
          </cell>
        </row>
        <row r="647">
          <cell r="D647" t="str">
            <v xml:space="preserve"> - Kap. Angkut/Rit</v>
          </cell>
          <cell r="F647" t="str">
            <v>= (Fa2 x Cp2)</v>
          </cell>
          <cell r="H647" t="str">
            <v>Ka</v>
          </cell>
          <cell r="I647">
            <v>1.2449999999999999</v>
          </cell>
          <cell r="J647" t="str">
            <v>M3</v>
          </cell>
        </row>
        <row r="648">
          <cell r="D648" t="str">
            <v xml:space="preserve"> - Waktu Siklus (muat, tuang, Tunggu, dll)</v>
          </cell>
          <cell r="H648" t="str">
            <v>Ts</v>
          </cell>
          <cell r="I648">
            <v>5</v>
          </cell>
          <cell r="J648" t="str">
            <v>Menit</v>
          </cell>
        </row>
        <row r="649">
          <cell r="D649" t="str">
            <v xml:space="preserve"> - Waktu kerja Whell Loader memasok Gravel = {(Qg : Ka) x Ts} : 60 Menit</v>
          </cell>
          <cell r="H649" t="str">
            <v>Tw</v>
          </cell>
          <cell r="I649">
            <v>1.3015023055183697</v>
          </cell>
          <cell r="J649" t="str">
            <v>Jam</v>
          </cell>
        </row>
        <row r="651">
          <cell r="D651" t="str">
            <v>Biaya Produksi Batu Pecah / M3</v>
          </cell>
          <cell r="F651" t="str">
            <v>= {(Tst x Rp3) + (Tw x Rp4)} : Qb</v>
          </cell>
          <cell r="H651" t="str">
            <v>Bp</v>
          </cell>
          <cell r="I651">
            <v>17147.032766628759</v>
          </cell>
          <cell r="J651" t="str">
            <v>Rp/M3</v>
          </cell>
        </row>
        <row r="653">
          <cell r="D653" t="str">
            <v>Harga Satuan Batu Pecah Produksi Stone Crusher/ M3</v>
          </cell>
        </row>
        <row r="654">
          <cell r="F654" t="str">
            <v>= {(Qg : Qb) x Fh x Rp1} + Bp</v>
          </cell>
          <cell r="H654" t="str">
            <v>Hsb</v>
          </cell>
          <cell r="I654">
            <v>67390.249260881523</v>
          </cell>
          <cell r="J654" t="str">
            <v>Rp/M3</v>
          </cell>
        </row>
        <row r="656">
          <cell r="D656" t="str">
            <v>Harga Satuan Aggregat Kasar</v>
          </cell>
        </row>
        <row r="657">
          <cell r="D657" t="str">
            <v>Harga satuan aggregat kasar diambil sama dengan Aggrgat batu pecah</v>
          </cell>
        </row>
        <row r="658">
          <cell r="D658" t="str">
            <v>Produksi Stone Crusher</v>
          </cell>
        </row>
        <row r="659">
          <cell r="D659" t="str">
            <v>Harga Satuan Aggregat Kasar / M3</v>
          </cell>
          <cell r="H659" t="str">
            <v>HSak</v>
          </cell>
          <cell r="I659">
            <v>67390.249260881523</v>
          </cell>
          <cell r="J659" t="str">
            <v>Rupiah</v>
          </cell>
          <cell r="K659" t="str">
            <v>Diluar PPn</v>
          </cell>
        </row>
        <row r="660">
          <cell r="H660" t="str">
            <v>PPn</v>
          </cell>
          <cell r="I660">
            <v>0</v>
          </cell>
          <cell r="J660" t="str">
            <v>Rupiah</v>
          </cell>
          <cell r="K660" t="str">
            <v>PPn 10 %</v>
          </cell>
        </row>
        <row r="661">
          <cell r="H661" t="str">
            <v>HSak</v>
          </cell>
          <cell r="I661">
            <v>67390.249260881523</v>
          </cell>
          <cell r="J661" t="str">
            <v>Rupiah</v>
          </cell>
        </row>
        <row r="662">
          <cell r="D662" t="str">
            <v>Harga Satuan Aggregat Halus</v>
          </cell>
        </row>
        <row r="663">
          <cell r="D663" t="str">
            <v>Dianggap Aggegat Produksi Stone Crusher yang lolos saringan # 4 (4.75mm)</v>
          </cell>
        </row>
        <row r="664">
          <cell r="D664" t="str">
            <v>belum memenuhi Spesifikasi sehingga perlu dicampur lagi dengan pasir 10 %</v>
          </cell>
        </row>
        <row r="665">
          <cell r="D665" t="str">
            <v>Aggregat Hasil Sote Crusher</v>
          </cell>
          <cell r="F665" t="str">
            <v>= 90 % x Hsb</v>
          </cell>
          <cell r="H665" t="str">
            <v>Hs1</v>
          </cell>
          <cell r="I665">
            <v>60651.224334793369</v>
          </cell>
          <cell r="J665" t="str">
            <v>Rupiah</v>
          </cell>
        </row>
        <row r="666">
          <cell r="D666" t="str">
            <v>Pasir</v>
          </cell>
          <cell r="F666" t="str">
            <v>= 10 % x Rp2</v>
          </cell>
          <cell r="H666" t="str">
            <v>Hs2</v>
          </cell>
          <cell r="I666">
            <v>3315.1958907696594</v>
          </cell>
          <cell r="J666" t="str">
            <v>Rupiah</v>
          </cell>
        </row>
        <row r="667">
          <cell r="D667" t="str">
            <v>Waktu Pencampuran (Blending) dengan Whell Loader</v>
          </cell>
          <cell r="H667" t="str">
            <v>Tc</v>
          </cell>
          <cell r="I667">
            <v>3.0000000000000001E-3</v>
          </cell>
          <cell r="J667" t="str">
            <v>Jam/M3</v>
          </cell>
        </row>
        <row r="668">
          <cell r="D668" t="str">
            <v>Biaya Pencampuran</v>
          </cell>
          <cell r="F668" t="str">
            <v>= Tc x Rp4</v>
          </cell>
          <cell r="H668" t="str">
            <v>Hs3</v>
          </cell>
          <cell r="I668">
            <v>768.53000860030102</v>
          </cell>
          <cell r="J668" t="str">
            <v>Rupiah</v>
          </cell>
        </row>
        <row r="670">
          <cell r="D670" t="str">
            <v>Harga Satuan Aggregat Halus/M3</v>
          </cell>
          <cell r="F670" t="str">
            <v>= Hs1 + Hs2 + Hs3</v>
          </cell>
          <cell r="H670" t="str">
            <v>HSAh</v>
          </cell>
          <cell r="I670">
            <v>64734.950234163334</v>
          </cell>
          <cell r="J670" t="str">
            <v>Rupiah</v>
          </cell>
          <cell r="K670" t="str">
            <v>Diluar PPn</v>
          </cell>
        </row>
        <row r="671">
          <cell r="H671" t="str">
            <v>PPn</v>
          </cell>
          <cell r="I671">
            <v>0</v>
          </cell>
          <cell r="J671" t="str">
            <v>Rupiah</v>
          </cell>
          <cell r="K671" t="str">
            <v>PPn 10 %</v>
          </cell>
        </row>
        <row r="672">
          <cell r="H672" t="str">
            <v>HSAh</v>
          </cell>
          <cell r="I672">
            <v>64734.950234163334</v>
          </cell>
          <cell r="J672" t="str">
            <v>Rupiah</v>
          </cell>
        </row>
        <row r="675">
          <cell r="A675" t="str">
            <v>|::</v>
          </cell>
        </row>
        <row r="676">
          <cell r="C676" t="str">
            <v>Item Pembayaran          : Aggregat Kasar dan Halus</v>
          </cell>
        </row>
        <row r="677">
          <cell r="C677" t="str">
            <v>Jenis Pekerjaan             : Pengadaan Aggregat Kasar dan Halus untuk Base, Sab Base dan Beton</v>
          </cell>
        </row>
        <row r="678">
          <cell r="C678" t="str">
            <v>Satuan Pekerjaan           : M3</v>
          </cell>
        </row>
        <row r="679">
          <cell r="C679" t="str">
            <v>No</v>
          </cell>
          <cell r="D679" t="str">
            <v>URAIAN</v>
          </cell>
          <cell r="H679" t="str">
            <v>KODE</v>
          </cell>
          <cell r="I679" t="str">
            <v>KOEF.</v>
          </cell>
          <cell r="J679" t="str">
            <v>SATUAN</v>
          </cell>
          <cell r="K679" t="str">
            <v>HARGA SATUAN</v>
          </cell>
        </row>
        <row r="680">
          <cell r="K680" t="str">
            <v>( Rp )</v>
          </cell>
        </row>
        <row r="681">
          <cell r="C681" t="str">
            <v>I.</v>
          </cell>
          <cell r="D681" t="str">
            <v>ASUMSI</v>
          </cell>
        </row>
        <row r="682">
          <cell r="C682">
            <v>1</v>
          </cell>
          <cell r="D682" t="str">
            <v>Bahan dasar adalah batu dan pasir, diterima dilokasi alat Stone Crusher</v>
          </cell>
        </row>
        <row r="683">
          <cell r="D683" t="str">
            <v>di Base camp II (Stone Crosher II)</v>
          </cell>
        </row>
        <row r="684">
          <cell r="C684">
            <v>2</v>
          </cell>
          <cell r="D684" t="str">
            <v>Kegiatan dilakukan didalam lokasi Base Camp II</v>
          </cell>
        </row>
        <row r="685">
          <cell r="C685">
            <v>3</v>
          </cell>
          <cell r="D685" t="str">
            <v>Hasil Produksi Pemecah batu :</v>
          </cell>
        </row>
        <row r="686">
          <cell r="D686" t="str">
            <v xml:space="preserve">                                                   - Aggregat Halus</v>
          </cell>
          <cell r="H686" t="str">
            <v>H</v>
          </cell>
          <cell r="I686">
            <v>20</v>
          </cell>
          <cell r="J686" t="str">
            <v>%</v>
          </cell>
        </row>
        <row r="687">
          <cell r="D687" t="str">
            <v xml:space="preserve">                                                   - Aggregat Kasar</v>
          </cell>
          <cell r="H687" t="str">
            <v>K</v>
          </cell>
          <cell r="I687">
            <v>80</v>
          </cell>
          <cell r="J687" t="str">
            <v>%</v>
          </cell>
        </row>
        <row r="688">
          <cell r="C688">
            <v>4</v>
          </cell>
          <cell r="D688" t="str">
            <v>Berat Jenis Bahan  :</v>
          </cell>
        </row>
        <row r="689">
          <cell r="D689" t="str">
            <v xml:space="preserve">                                                   - Batu/Gravel</v>
          </cell>
          <cell r="H689" t="str">
            <v>D1</v>
          </cell>
          <cell r="I689">
            <v>1.8</v>
          </cell>
          <cell r="J689" t="str">
            <v>Ton/M3</v>
          </cell>
        </row>
        <row r="690">
          <cell r="D690" t="str">
            <v xml:space="preserve">                                                   - Pasir</v>
          </cell>
          <cell r="H690" t="str">
            <v>D2</v>
          </cell>
          <cell r="I690">
            <v>1.67</v>
          </cell>
          <cell r="J690" t="str">
            <v>Ton/M3</v>
          </cell>
        </row>
        <row r="691">
          <cell r="D691" t="str">
            <v xml:space="preserve">                                                   - Batu Pecah</v>
          </cell>
          <cell r="H691" t="str">
            <v>D3</v>
          </cell>
          <cell r="I691">
            <v>1.8</v>
          </cell>
          <cell r="J691" t="str">
            <v>Ton/M3</v>
          </cell>
        </row>
        <row r="692">
          <cell r="C692">
            <v>5</v>
          </cell>
          <cell r="D692" t="str">
            <v>Harga Satuan Bahan Dasar</v>
          </cell>
        </row>
        <row r="693">
          <cell r="D693" t="str">
            <v xml:space="preserve">                                                   - Batu / Gravel</v>
          </cell>
          <cell r="H693" t="str">
            <v>Rp1</v>
          </cell>
          <cell r="I693">
            <v>34400</v>
          </cell>
          <cell r="J693" t="str">
            <v>Rp/M3</v>
          </cell>
        </row>
        <row r="694">
          <cell r="D694" t="str">
            <v xml:space="preserve">                                                   - Pasir</v>
          </cell>
          <cell r="H694" t="str">
            <v>Rp2</v>
          </cell>
          <cell r="I694">
            <v>18900</v>
          </cell>
          <cell r="J694" t="str">
            <v>Rp/M3</v>
          </cell>
        </row>
        <row r="695">
          <cell r="C695">
            <v>6</v>
          </cell>
          <cell r="D695" t="str">
            <v>Biaya operasi alat</v>
          </cell>
        </row>
        <row r="696">
          <cell r="D696" t="str">
            <v xml:space="preserve">                              - Pemecah Batu (Stone Crusher)</v>
          </cell>
          <cell r="H696" t="str">
            <v>Rp3</v>
          </cell>
          <cell r="I696">
            <v>352709.75220382714</v>
          </cell>
          <cell r="J696" t="str">
            <v>Rp/Jam</v>
          </cell>
        </row>
        <row r="697">
          <cell r="D697" t="str">
            <v xml:space="preserve">                              - Whell Loader</v>
          </cell>
          <cell r="H697" t="str">
            <v>Rp4</v>
          </cell>
          <cell r="I697">
            <v>256176.66953343368</v>
          </cell>
          <cell r="J697" t="str">
            <v>Rp/Jam</v>
          </cell>
        </row>
        <row r="698">
          <cell r="C698">
            <v>7</v>
          </cell>
          <cell r="D698" t="str">
            <v>Kapasitas Alat</v>
          </cell>
        </row>
        <row r="699">
          <cell r="D699" t="str">
            <v xml:space="preserve">                              - Pemecah Batu (Stone Crusher)</v>
          </cell>
          <cell r="H699" t="str">
            <v>Cp1</v>
          </cell>
          <cell r="I699">
            <v>50</v>
          </cell>
          <cell r="J699" t="str">
            <v>Ton/Jam</v>
          </cell>
        </row>
        <row r="700">
          <cell r="D700" t="str">
            <v xml:space="preserve">                              - Whell Loader</v>
          </cell>
          <cell r="H700" t="str">
            <v>Cp2</v>
          </cell>
          <cell r="I700">
            <v>1.5</v>
          </cell>
          <cell r="J700" t="str">
            <v>M3</v>
          </cell>
          <cell r="K700" t="str">
            <v>Kap. Bucket</v>
          </cell>
        </row>
        <row r="701">
          <cell r="C701">
            <v>8</v>
          </cell>
          <cell r="D701" t="str">
            <v>Faktor Efisiensi Alat</v>
          </cell>
        </row>
        <row r="702">
          <cell r="D702" t="str">
            <v xml:space="preserve">                              - Pemecah Batu (Stone Crusher)</v>
          </cell>
          <cell r="H702" t="str">
            <v>Fa1</v>
          </cell>
          <cell r="I702">
            <v>0.7</v>
          </cell>
          <cell r="J702" t="str">
            <v>-</v>
          </cell>
        </row>
        <row r="703">
          <cell r="D703" t="str">
            <v xml:space="preserve">                              - Whell Loader</v>
          </cell>
          <cell r="H703" t="str">
            <v>Fa2</v>
          </cell>
          <cell r="I703">
            <v>0.83</v>
          </cell>
          <cell r="J703" t="str">
            <v>-</v>
          </cell>
        </row>
        <row r="704">
          <cell r="C704">
            <v>9</v>
          </cell>
          <cell r="D704" t="str">
            <v>Faktor Kehilangan Material</v>
          </cell>
          <cell r="H704" t="str">
            <v>Fh</v>
          </cell>
          <cell r="I704">
            <v>1.1000000000000001</v>
          </cell>
          <cell r="J704" t="str">
            <v>-</v>
          </cell>
        </row>
        <row r="705">
          <cell r="C705">
            <v>10</v>
          </cell>
          <cell r="D705" t="str">
            <v>Harga Satuan Aggregat kasar diambil sama dengan harga satuan aggregat</v>
          </cell>
        </row>
        <row r="706">
          <cell r="D706" t="str">
            <v>Produksi Stone Crusher</v>
          </cell>
        </row>
        <row r="707">
          <cell r="C707">
            <v>11</v>
          </cell>
          <cell r="D707" t="str">
            <v>Aggregat halus masih perlu dicampur dengan pasir</v>
          </cell>
        </row>
        <row r="709">
          <cell r="C709" t="str">
            <v>II</v>
          </cell>
          <cell r="D709" t="str">
            <v>Methode Pelaksanaan</v>
          </cell>
        </row>
        <row r="710">
          <cell r="C710">
            <v>1</v>
          </cell>
          <cell r="D710" t="str">
            <v>Wheel Loader mengangkut Batu/Gravel dari Tumpukan dan menuangkannya</v>
          </cell>
        </row>
        <row r="711">
          <cell r="D711" t="str">
            <v>ke alat pemecah batu</v>
          </cell>
        </row>
        <row r="712">
          <cell r="C712">
            <v>2</v>
          </cell>
          <cell r="D712" t="str">
            <v xml:space="preserve">Batu/Gravel dipecah dengan alat pemecah batu sehingga menghasilkan  </v>
          </cell>
        </row>
        <row r="713">
          <cell r="D713" t="str">
            <v>aggregat batu pecah</v>
          </cell>
        </row>
        <row r="715">
          <cell r="C715" t="str">
            <v>III</v>
          </cell>
          <cell r="D715" t="str">
            <v>PERHITUNGAN</v>
          </cell>
        </row>
        <row r="716">
          <cell r="D716" t="str">
            <v xml:space="preserve">Harga satuan aggregat Produksi Stone Crusher </v>
          </cell>
        </row>
        <row r="717">
          <cell r="D717" t="str">
            <v>Kerja Stone Crusher memecah Gravel</v>
          </cell>
        </row>
        <row r="718">
          <cell r="D718" t="str">
            <v xml:space="preserve">  - Waktu Kerja Stone Crusher</v>
          </cell>
          <cell r="H718" t="str">
            <v>Tst</v>
          </cell>
          <cell r="I718">
            <v>1</v>
          </cell>
          <cell r="J718" t="str">
            <v>Jam</v>
          </cell>
        </row>
        <row r="719">
          <cell r="D719" t="str">
            <v xml:space="preserve"> - Produksi Kerja Stone Crusher 1 jam = (Fa1 x Cp) : D3</v>
          </cell>
          <cell r="H719" t="str">
            <v>Qb</v>
          </cell>
          <cell r="I719">
            <v>19.444444444444443</v>
          </cell>
          <cell r="J719" t="str">
            <v>M3/jam</v>
          </cell>
          <cell r="K719" t="str">
            <v>Batu Pecah</v>
          </cell>
        </row>
        <row r="720">
          <cell r="D720" t="str">
            <v xml:space="preserve">  - Kebutuhan Gravel/Bat 1 jam</v>
          </cell>
          <cell r="F720" t="str">
            <v>= (Fa1 x Cp1) : D1</v>
          </cell>
          <cell r="H720" t="str">
            <v>Qq</v>
          </cell>
          <cell r="I720">
            <v>19.444444444444443</v>
          </cell>
          <cell r="J720" t="str">
            <v>M3/jam</v>
          </cell>
        </row>
        <row r="722">
          <cell r="D722" t="str">
            <v>Whell Loader Melayani Stone Crusher  :</v>
          </cell>
        </row>
        <row r="723">
          <cell r="D723" t="str">
            <v xml:space="preserve">    - Kap. Angkut/Rit</v>
          </cell>
          <cell r="F723" t="str">
            <v>= (Fa2 x Cp2)</v>
          </cell>
          <cell r="H723" t="str">
            <v>Ka</v>
          </cell>
          <cell r="I723">
            <v>1.2449999999999999</v>
          </cell>
          <cell r="J723" t="str">
            <v>M3</v>
          </cell>
        </row>
        <row r="724">
          <cell r="D724" t="str">
            <v xml:space="preserve">    - Waktu Siklus (muat, tuang, Tunggu, dll)</v>
          </cell>
          <cell r="H724" t="str">
            <v>Ts</v>
          </cell>
          <cell r="I724">
            <v>5</v>
          </cell>
          <cell r="J724" t="str">
            <v>Menit</v>
          </cell>
        </row>
        <row r="725">
          <cell r="D725" t="str">
            <v xml:space="preserve">    - Waktu kerja Whell Loader memasok Gravel = {(Qg : Ka) x Ts} : 60 Menit</v>
          </cell>
          <cell r="H725" t="str">
            <v>Tw</v>
          </cell>
          <cell r="I725">
            <v>1.3015023055183697</v>
          </cell>
          <cell r="J725" t="str">
            <v>Jam</v>
          </cell>
        </row>
        <row r="727">
          <cell r="D727" t="str">
            <v>Biaya Produksi Batu Pecah / M3</v>
          </cell>
          <cell r="F727" t="str">
            <v>= {(Tst x Rp3) + (Tw x Rp4)} : Qb</v>
          </cell>
          <cell r="H727" t="str">
            <v>Bp</v>
          </cell>
          <cell r="I727">
            <v>12147.032766628759</v>
          </cell>
          <cell r="J727" t="str">
            <v>Rp/M3</v>
          </cell>
        </row>
        <row r="729">
          <cell r="D729" t="str">
            <v>Harga Satuan Batu Pecah Produksi Stone Crusher/ M3</v>
          </cell>
        </row>
        <row r="730">
          <cell r="F730" t="str">
            <v>= {(Qg : Qb) x Fh x Rp1} + Bp</v>
          </cell>
          <cell r="H730" t="str">
            <v>Hsb</v>
          </cell>
          <cell r="I730">
            <v>49987.032766628763</v>
          </cell>
          <cell r="J730" t="str">
            <v>Rp/M3</v>
          </cell>
        </row>
        <row r="732">
          <cell r="D732" t="str">
            <v>Harga Satuan Aggregat Kasar</v>
          </cell>
        </row>
        <row r="733">
          <cell r="D733" t="str">
            <v>Harga satuan aggregat kasar diambil sama dengan Aggrgat batu pecah</v>
          </cell>
        </row>
        <row r="734">
          <cell r="D734" t="str">
            <v>Produksi Stone Crusher</v>
          </cell>
        </row>
        <row r="735">
          <cell r="D735" t="str">
            <v>Harga Satuan Aggregat Kasar / M3</v>
          </cell>
          <cell r="H735" t="str">
            <v>HSak</v>
          </cell>
          <cell r="I735">
            <v>49987.032766628763</v>
          </cell>
          <cell r="J735" t="str">
            <v>Rupiah</v>
          </cell>
          <cell r="K735" t="str">
            <v>Diluar PPn</v>
          </cell>
        </row>
        <row r="736">
          <cell r="H736" t="str">
            <v>PPn</v>
          </cell>
          <cell r="I736">
            <v>0</v>
          </cell>
          <cell r="J736" t="str">
            <v>Rupiah</v>
          </cell>
          <cell r="K736" t="str">
            <v>PPn 10 %</v>
          </cell>
        </row>
        <row r="737">
          <cell r="H737" t="str">
            <v>HSak</v>
          </cell>
          <cell r="I737">
            <v>49987.032766628763</v>
          </cell>
          <cell r="J737" t="str">
            <v>Rupiah</v>
          </cell>
        </row>
        <row r="738">
          <cell r="D738" t="str">
            <v>Harga Satuan Aggregat Halus</v>
          </cell>
        </row>
        <row r="739">
          <cell r="D739" t="str">
            <v>Dianggap Aggegat Produksi Stone Crusher yang lolos saringan # 4 (4.75mm)</v>
          </cell>
        </row>
        <row r="740">
          <cell r="D740" t="str">
            <v>belum memenuhi Spesifikasi sehingga perlu dicampur lagi dengan pasir 10 %</v>
          </cell>
        </row>
        <row r="741">
          <cell r="D741" t="str">
            <v>Aggregat Hasil Sote Crusher</v>
          </cell>
          <cell r="F741" t="str">
            <v>= 90 % x Hsb</v>
          </cell>
          <cell r="H741" t="str">
            <v>Hs1</v>
          </cell>
          <cell r="I741">
            <v>44988.329489965887</v>
          </cell>
          <cell r="J741" t="str">
            <v>Rupiah</v>
          </cell>
        </row>
        <row r="742">
          <cell r="D742" t="str">
            <v>Pasir</v>
          </cell>
          <cell r="F742" t="str">
            <v>= 10 % x Rp2</v>
          </cell>
          <cell r="H742" t="str">
            <v>Hs2</v>
          </cell>
          <cell r="I742">
            <v>1890</v>
          </cell>
          <cell r="J742" t="str">
            <v>Rupiah</v>
          </cell>
        </row>
        <row r="743">
          <cell r="D743" t="str">
            <v>Waktu Pencampuran (Blending) dengan Whell Loader</v>
          </cell>
          <cell r="H743" t="str">
            <v>Tc</v>
          </cell>
          <cell r="I743">
            <v>3.0000000000000001E-3</v>
          </cell>
          <cell r="J743" t="str">
            <v>Jam/M3</v>
          </cell>
        </row>
        <row r="744">
          <cell r="D744" t="str">
            <v>Biaya Pencampuran</v>
          </cell>
          <cell r="F744" t="str">
            <v>= Tc x Rp4</v>
          </cell>
          <cell r="H744" t="str">
            <v>Hs3</v>
          </cell>
          <cell r="I744">
            <v>768.53000860030102</v>
          </cell>
          <cell r="J744" t="str">
            <v>Rupiah</v>
          </cell>
        </row>
        <row r="746">
          <cell r="D746" t="str">
            <v>Harga Satuan Aggregat Halus / M3</v>
          </cell>
          <cell r="F746" t="str">
            <v>= Hs1 + Hs2 + Hs3</v>
          </cell>
          <cell r="H746" t="str">
            <v>HSAh</v>
          </cell>
          <cell r="I746">
            <v>47646.859498566191</v>
          </cell>
          <cell r="J746" t="str">
            <v>Rupiah</v>
          </cell>
          <cell r="K746" t="str">
            <v>Diluar PPn</v>
          </cell>
        </row>
        <row r="747">
          <cell r="H747" t="str">
            <v>PPn</v>
          </cell>
          <cell r="I747">
            <v>0</v>
          </cell>
          <cell r="J747" t="str">
            <v>Rupiah</v>
          </cell>
          <cell r="K747" t="str">
            <v>PPn 10 %</v>
          </cell>
        </row>
        <row r="748">
          <cell r="H748" t="str">
            <v>HSAh</v>
          </cell>
          <cell r="I748">
            <v>47646.859498566191</v>
          </cell>
          <cell r="J748" t="str">
            <v>Rupiah</v>
          </cell>
        </row>
      </sheetData>
      <sheetData sheetId="2">
        <row r="4">
          <cell r="C4" t="str">
            <v xml:space="preserve">REKAPITULASI </v>
          </cell>
        </row>
        <row r="5">
          <cell r="C5" t="str">
            <v>DAFTAR KUANTITAS DAN HARGA</v>
          </cell>
        </row>
        <row r="7">
          <cell r="C7" t="str">
            <v>NAMA PENAWAR</v>
          </cell>
          <cell r="G7" t="str">
            <v>:</v>
          </cell>
          <cell r="H7" t="str">
            <v>PT. GAYOTAMA LEOPROPITA</v>
          </cell>
        </row>
        <row r="8">
          <cell r="C8" t="str">
            <v>SATUAN KERJA</v>
          </cell>
          <cell r="G8" t="str">
            <v>:</v>
          </cell>
          <cell r="H8" t="str">
            <v>SKS BRR-REHABILITASI DAN REKONSTRUKSI JALAN NASIONAL NAD</v>
          </cell>
        </row>
        <row r="9">
          <cell r="C9" t="str">
            <v>NAMA PAKET</v>
          </cell>
          <cell r="G9" t="str">
            <v>:</v>
          </cell>
          <cell r="H9" t="str">
            <v>REHABILITASI DAN REKONSTRUKSI JALAN TEKENGON-GENTING GERBANG-PAMEU (Transisi)</v>
          </cell>
        </row>
        <row r="10">
          <cell r="C10" t="str">
            <v>No. PAKET KONTRAK</v>
          </cell>
          <cell r="G10" t="str">
            <v>:</v>
          </cell>
          <cell r="H10" t="str">
            <v xml:space="preserve"> BRR - JN 09</v>
          </cell>
        </row>
        <row r="11">
          <cell r="C11" t="str">
            <v>PROVINSI/KAB.</v>
          </cell>
          <cell r="G11" t="str">
            <v>:</v>
          </cell>
          <cell r="H11" t="str">
            <v>NAD / ACEH TENGAH</v>
          </cell>
        </row>
        <row r="13">
          <cell r="C13" t="str">
            <v>NO.   DIVISI</v>
          </cell>
          <cell r="E13">
            <v>0</v>
          </cell>
          <cell r="J13" t="str">
            <v>JUMLAH HARGA</v>
          </cell>
        </row>
        <row r="14">
          <cell r="E14" t="str">
            <v>URAIAN</v>
          </cell>
          <cell r="J14" t="str">
            <v>PENAWARAN</v>
          </cell>
        </row>
        <row r="15">
          <cell r="E15">
            <v>0</v>
          </cell>
          <cell r="J15" t="str">
            <v>(RUPIAH)</v>
          </cell>
        </row>
        <row r="17">
          <cell r="C17">
            <v>1</v>
          </cell>
          <cell r="F17" t="str">
            <v>UMUM</v>
          </cell>
          <cell r="J17">
            <v>156970000</v>
          </cell>
        </row>
        <row r="18">
          <cell r="C18">
            <v>2</v>
          </cell>
          <cell r="F18" t="str">
            <v>DRAINASE</v>
          </cell>
          <cell r="J18">
            <v>40347782.5</v>
          </cell>
        </row>
        <row r="19">
          <cell r="C19">
            <v>3</v>
          </cell>
          <cell r="F19" t="str">
            <v>PEKERJAAN TANAH</v>
          </cell>
          <cell r="J19">
            <v>618367900</v>
          </cell>
        </row>
        <row r="20">
          <cell r="C20">
            <v>4</v>
          </cell>
          <cell r="F20" t="str">
            <v>PELEBARAN PERKERASAN DAN BAHU JALAN</v>
          </cell>
          <cell r="J20">
            <v>71667000</v>
          </cell>
        </row>
        <row r="21">
          <cell r="C21">
            <v>5</v>
          </cell>
          <cell r="F21" t="str">
            <v>PEKERJAAN BERBUTIR</v>
          </cell>
          <cell r="J21">
            <v>1024729537.5</v>
          </cell>
        </row>
        <row r="22">
          <cell r="C22">
            <v>6</v>
          </cell>
          <cell r="F22" t="str">
            <v>PERKERASAN ASPAL</v>
          </cell>
          <cell r="J22">
            <v>425406600</v>
          </cell>
        </row>
        <row r="23">
          <cell r="C23">
            <v>7</v>
          </cell>
          <cell r="F23" t="str">
            <v>STRUKTUR</v>
          </cell>
          <cell r="J23">
            <v>291896766.19999999</v>
          </cell>
        </row>
        <row r="24">
          <cell r="C24">
            <v>8</v>
          </cell>
          <cell r="F24" t="str">
            <v>PENGEMBALIAN KONDISI DAN PEKERJAAN MINOR</v>
          </cell>
          <cell r="J24">
            <v>17912580</v>
          </cell>
        </row>
        <row r="25">
          <cell r="C25">
            <v>9</v>
          </cell>
          <cell r="F25" t="str">
            <v>PEKERJAAN HARIAN</v>
          </cell>
          <cell r="J25">
            <v>0</v>
          </cell>
        </row>
        <row r="26">
          <cell r="C26">
            <v>10</v>
          </cell>
          <cell r="F26" t="str">
            <v>PEKERJAAN PEMELIHARAAN RUTIN</v>
          </cell>
          <cell r="J26">
            <v>29520075</v>
          </cell>
        </row>
        <row r="28">
          <cell r="C28" t="str">
            <v>( A ).</v>
          </cell>
          <cell r="D28" t="str">
            <v>JUMLAH HARGA (TERMASUK BIAYA UMUM DAN KEUNTUNGAN)</v>
          </cell>
          <cell r="J28">
            <v>2676818241.1999998</v>
          </cell>
        </row>
        <row r="29">
          <cell r="C29" t="str">
            <v xml:space="preserve">( B ). </v>
          </cell>
          <cell r="D29" t="str">
            <v>PAJAK PERTAMBAHAN NILAI (PPn) = 10 % X (A)</v>
          </cell>
          <cell r="J29">
            <v>267681824.12</v>
          </cell>
        </row>
        <row r="30">
          <cell r="C30" t="str">
            <v>( C ).</v>
          </cell>
          <cell r="D30" t="str">
            <v>TOTAL HARGA  = (A) + (B)</v>
          </cell>
          <cell r="J30">
            <v>2944500065.3199997</v>
          </cell>
        </row>
        <row r="31">
          <cell r="C31" t="str">
            <v>( D ).</v>
          </cell>
          <cell r="D31" t="str">
            <v>DIBULATKAN</v>
          </cell>
          <cell r="J31">
            <v>2944500000</v>
          </cell>
        </row>
        <row r="33">
          <cell r="C33" t="str">
            <v>TERBILANG :</v>
          </cell>
          <cell r="F33" t="str">
            <v>DUA  MILYAR  SEMBILAN  RATUS  EMPAT  PULUH  EMPAT  JUTA  LIMA  RATUS</v>
          </cell>
        </row>
        <row r="34">
          <cell r="F34" t="str">
            <v>RIBU  RUPIAH,---</v>
          </cell>
        </row>
        <row r="38">
          <cell r="H38">
            <v>0</v>
          </cell>
          <cell r="I38" t="str">
            <v>TAKENGON, 24 AGUSTUS 2006</v>
          </cell>
        </row>
        <row r="39">
          <cell r="H39">
            <v>0</v>
          </cell>
          <cell r="I39" t="str">
            <v>PT. GAYOTAMA LEOPROPITA</v>
          </cell>
        </row>
        <row r="40">
          <cell r="H40">
            <v>0</v>
          </cell>
        </row>
        <row r="41">
          <cell r="H41">
            <v>0</v>
          </cell>
        </row>
        <row r="45">
          <cell r="H45">
            <v>0</v>
          </cell>
          <cell r="I45" t="str">
            <v>Ir.  CHAIRIL  ANWAR</v>
          </cell>
        </row>
        <row r="46">
          <cell r="H46">
            <v>0</v>
          </cell>
          <cell r="I46" t="str">
            <v>DIREKTUR UTAMA</v>
          </cell>
        </row>
        <row r="51">
          <cell r="I51" t="str">
            <v>OE</v>
          </cell>
          <cell r="J51">
            <v>4844600000</v>
          </cell>
        </row>
        <row r="52">
          <cell r="I52" t="str">
            <v>potong</v>
          </cell>
          <cell r="J52">
            <v>1900100000</v>
          </cell>
        </row>
        <row r="53">
          <cell r="I53" t="str">
            <v>% potong</v>
          </cell>
          <cell r="J53">
            <v>39.220988316888906</v>
          </cell>
        </row>
        <row r="54">
          <cell r="I54" t="str">
            <v>% Tawar</v>
          </cell>
          <cell r="J54">
            <v>60.779011683111094</v>
          </cell>
        </row>
        <row r="55">
          <cell r="I55" t="str">
            <v>% Tawar</v>
          </cell>
          <cell r="J55">
            <v>60.779011683111094</v>
          </cell>
        </row>
        <row r="56">
          <cell r="J56">
            <v>48446000</v>
          </cell>
        </row>
        <row r="57">
          <cell r="I57" t="str">
            <v>OE</v>
          </cell>
          <cell r="J57">
            <v>4844600000</v>
          </cell>
        </row>
      </sheetData>
      <sheetData sheetId="3">
        <row r="3">
          <cell r="B3" t="str">
            <v>DAFTAR  KUANTITAS DAN HARGA</v>
          </cell>
        </row>
        <row r="5">
          <cell r="B5" t="str">
            <v>NAMA PENAWAR</v>
          </cell>
          <cell r="E5" t="str">
            <v>:</v>
          </cell>
          <cell r="F5" t="str">
            <v>PT. GAYOTAMA LEOPROPITA</v>
          </cell>
        </row>
        <row r="6">
          <cell r="B6" t="str">
            <v>SATUAN KERJA</v>
          </cell>
          <cell r="E6" t="str">
            <v>:</v>
          </cell>
          <cell r="F6" t="str">
            <v>SKS BRR-REHABILITASI DAN REKONSTRUKSI JALAN NASIONAL NAD</v>
          </cell>
        </row>
        <row r="7">
          <cell r="B7" t="str">
            <v>NAMA PAKET</v>
          </cell>
          <cell r="E7" t="str">
            <v>:</v>
          </cell>
          <cell r="F7" t="str">
            <v>REHABILITASI DAN REKONSTRUKSI JALAN TEKENGON-GENTING GERBANG-PAMEU (Transisi)</v>
          </cell>
        </row>
        <row r="8">
          <cell r="B8" t="str">
            <v>No. PAKET KONTRAK</v>
          </cell>
          <cell r="E8" t="str">
            <v>:</v>
          </cell>
          <cell r="F8" t="str">
            <v xml:space="preserve"> BRR - JN 09</v>
          </cell>
        </row>
        <row r="9">
          <cell r="B9" t="str">
            <v>PROVINSI/KAB.</v>
          </cell>
          <cell r="E9" t="str">
            <v>:</v>
          </cell>
          <cell r="F9" t="str">
            <v>NAD / ACEH TENGAH</v>
          </cell>
        </row>
        <row r="11">
          <cell r="G11">
            <v>0</v>
          </cell>
          <cell r="H11">
            <v>0</v>
          </cell>
        </row>
        <row r="12">
          <cell r="B12" t="str">
            <v>MATA</v>
          </cell>
          <cell r="C12" t="str">
            <v>URAIAN</v>
          </cell>
          <cell r="G12" t="str">
            <v>SA</v>
          </cell>
          <cell r="H12" t="str">
            <v>PERKIRAAN</v>
          </cell>
          <cell r="I12" t="str">
            <v>HARGA</v>
          </cell>
          <cell r="J12" t="str">
            <v>JUMLAH</v>
          </cell>
        </row>
        <row r="13">
          <cell r="B13" t="str">
            <v>PEMBA</v>
          </cell>
          <cell r="G13" t="str">
            <v>TU</v>
          </cell>
          <cell r="H13" t="str">
            <v>KUANTITAS</v>
          </cell>
          <cell r="I13" t="str">
            <v>SATUAN</v>
          </cell>
          <cell r="J13" t="str">
            <v>HARGA</v>
          </cell>
        </row>
        <row r="14">
          <cell r="B14" t="str">
            <v>YARAN</v>
          </cell>
          <cell r="G14" t="str">
            <v>AN</v>
          </cell>
          <cell r="I14" t="str">
            <v>(Rp.)</v>
          </cell>
          <cell r="J14" t="str">
            <v>(Rp.)</v>
          </cell>
        </row>
        <row r="15">
          <cell r="B15" t="str">
            <v>a</v>
          </cell>
          <cell r="D15" t="str">
            <v>b</v>
          </cell>
          <cell r="G15" t="str">
            <v>c</v>
          </cell>
          <cell r="H15" t="str">
            <v>d</v>
          </cell>
          <cell r="I15" t="str">
            <v>e</v>
          </cell>
          <cell r="J15" t="str">
            <v>f = (d x e)</v>
          </cell>
        </row>
        <row r="17">
          <cell r="D17" t="str">
            <v>DIVISI 1. UMUM</v>
          </cell>
        </row>
        <row r="19">
          <cell r="B19" t="str">
            <v>1.2</v>
          </cell>
          <cell r="D19" t="str">
            <v>Mobilisasi</v>
          </cell>
          <cell r="G19" t="str">
            <v>LS</v>
          </cell>
          <cell r="H19">
            <v>1</v>
          </cell>
          <cell r="I19">
            <v>156970000</v>
          </cell>
          <cell r="J19">
            <v>156970000</v>
          </cell>
        </row>
        <row r="23">
          <cell r="D23" t="str">
            <v>Jumlah Harga Penawaran Devisi 1  (masuk pada Rekapitulasi Daftar Kuantitas dan Harga)</v>
          </cell>
          <cell r="J23">
            <v>156970000</v>
          </cell>
        </row>
        <row r="26">
          <cell r="D26" t="str">
            <v>DIVISI 2. DRAINASE</v>
          </cell>
        </row>
        <row r="28">
          <cell r="B28" t="str">
            <v>2.1</v>
          </cell>
          <cell r="D28" t="str">
            <v xml:space="preserve">Galian untuk Selokan Drainase dan Saluran Air </v>
          </cell>
          <cell r="G28" t="str">
            <v>M3</v>
          </cell>
          <cell r="H28">
            <v>250</v>
          </cell>
          <cell r="I28">
            <v>26133</v>
          </cell>
          <cell r="J28">
            <v>6533250</v>
          </cell>
        </row>
        <row r="30">
          <cell r="B30" t="str">
            <v>2.2</v>
          </cell>
          <cell r="D30" t="str">
            <v>Pasangan Batu Dengan Mortar</v>
          </cell>
          <cell r="G30" t="str">
            <v>M3</v>
          </cell>
          <cell r="H30">
            <v>122.5</v>
          </cell>
          <cell r="I30">
            <v>276037</v>
          </cell>
          <cell r="J30">
            <v>33814532.5</v>
          </cell>
        </row>
        <row r="32">
          <cell r="B32" t="str">
            <v>2.3 (1)</v>
          </cell>
          <cell r="D32" t="str">
            <v>Gorong-gorong pipa beton bertulang, Dia. Dalam  45 cm</v>
          </cell>
          <cell r="G32" t="str">
            <v>M1</v>
          </cell>
        </row>
        <row r="34">
          <cell r="B34" t="str">
            <v>2.3 (2)</v>
          </cell>
          <cell r="D34" t="str">
            <v>Gorong-gorong pipa beton bertulang, Dia. Dalam  45  - &lt; 75 cm</v>
          </cell>
          <cell r="G34" t="str">
            <v>M1</v>
          </cell>
        </row>
        <row r="36">
          <cell r="B36" t="str">
            <v>2.3 (3)</v>
          </cell>
          <cell r="D36" t="str">
            <v>Gorong-gorong pipa beton bertulang, Dia. Dalam  75  - 120 cm</v>
          </cell>
          <cell r="G36" t="str">
            <v>M1</v>
          </cell>
          <cell r="I36" t="e">
            <v>#REF!</v>
          </cell>
        </row>
        <row r="38">
          <cell r="B38" t="str">
            <v>2.3 (4)</v>
          </cell>
          <cell r="D38" t="str">
            <v>Gorong-gorong Pipa Baja Bergelombang</v>
          </cell>
          <cell r="G38" t="str">
            <v>Ton</v>
          </cell>
        </row>
        <row r="40">
          <cell r="B40" t="str">
            <v>2.3 (5)</v>
          </cell>
          <cell r="D40" t="str">
            <v>Gorong-gorong pipa beton tanpa tulang, Dia. Dalam 20 cm</v>
          </cell>
          <cell r="G40" t="str">
            <v>M1</v>
          </cell>
        </row>
        <row r="42">
          <cell r="B42" t="str">
            <v>2.3 (6)</v>
          </cell>
          <cell r="D42" t="str">
            <v>Gorong-gorong pipa beton tanpa tulang, Dia. Dalam 25 cm</v>
          </cell>
          <cell r="G42" t="str">
            <v>M1</v>
          </cell>
        </row>
        <row r="44">
          <cell r="B44" t="str">
            <v>2.3 (7)</v>
          </cell>
          <cell r="D44" t="str">
            <v>Gorong-gorong pipa beton tanpa tulang, Dia. Dalam 30 cm</v>
          </cell>
          <cell r="G44" t="str">
            <v>M1</v>
          </cell>
        </row>
        <row r="46">
          <cell r="B46" t="str">
            <v>2.4 (1)</v>
          </cell>
          <cell r="D46" t="str">
            <v>Bahan Porous untuk Penimbunan kembali atau bahan penyarigan</v>
          </cell>
          <cell r="G46" t="str">
            <v>M3</v>
          </cell>
        </row>
        <row r="48">
          <cell r="B48" t="str">
            <v>2.4 (2)</v>
          </cell>
          <cell r="D48" t="str">
            <v>Anyaman Filter Plastik</v>
          </cell>
          <cell r="G48" t="str">
            <v>M2</v>
          </cell>
        </row>
        <row r="50">
          <cell r="B50" t="str">
            <v>2.4 (3)</v>
          </cell>
          <cell r="D50" t="str">
            <v>Pipa bertulang banyak (Perforated Pipe) untuk Pekerjaan</v>
          </cell>
          <cell r="G50" t="str">
            <v>M1</v>
          </cell>
        </row>
        <row r="51">
          <cell r="D51" t="str">
            <v>Drainase Bawah Permukaan</v>
          </cell>
        </row>
        <row r="55">
          <cell r="D55" t="str">
            <v>Jumlah Harga Penawaran Devisi 2  (masuk pada Rekapitulasi Daftar Kuantitas dan Harga)</v>
          </cell>
          <cell r="J55">
            <v>40347782.5</v>
          </cell>
        </row>
        <row r="59">
          <cell r="D59" t="str">
            <v>DIVISI  3.  PEKERJAAN  TANAH</v>
          </cell>
        </row>
        <row r="61">
          <cell r="B61" t="str">
            <v>3.1 (1)</v>
          </cell>
          <cell r="D61" t="str">
            <v>Galian Biasa</v>
          </cell>
          <cell r="G61" t="str">
            <v>M3</v>
          </cell>
          <cell r="H61">
            <v>10400</v>
          </cell>
          <cell r="I61">
            <v>26421</v>
          </cell>
          <cell r="J61">
            <v>274778400</v>
          </cell>
        </row>
        <row r="63">
          <cell r="B63" t="str">
            <v>3.1 (2)</v>
          </cell>
          <cell r="D63" t="str">
            <v>Galian Batu</v>
          </cell>
          <cell r="G63" t="str">
            <v>M3</v>
          </cell>
          <cell r="H63">
            <v>3000</v>
          </cell>
          <cell r="I63">
            <v>66092</v>
          </cell>
          <cell r="J63">
            <v>198276000</v>
          </cell>
        </row>
        <row r="65">
          <cell r="B65" t="str">
            <v>3.1 (3)</v>
          </cell>
          <cell r="D65" t="str">
            <v>Galian Struktur dengan Kedalaman 0 - 2 meter</v>
          </cell>
          <cell r="G65" t="str">
            <v>M3</v>
          </cell>
        </row>
        <row r="67">
          <cell r="B67" t="str">
            <v>3.1 (4)</v>
          </cell>
          <cell r="D67" t="str">
            <v>Galian Struktur dengan Kedalaman 2 - 4 meter</v>
          </cell>
          <cell r="G67" t="str">
            <v>M3</v>
          </cell>
        </row>
        <row r="69">
          <cell r="B69" t="str">
            <v>3.1 (5)</v>
          </cell>
          <cell r="D69" t="str">
            <v>Galian Struktur dengan Kedalaman 4 - 6 meter</v>
          </cell>
          <cell r="G69" t="str">
            <v>M3</v>
          </cell>
        </row>
        <row r="71">
          <cell r="B71" t="str">
            <v>3.1 (6)</v>
          </cell>
          <cell r="D71" t="str">
            <v>Cofferdam, Penyokong, Pengaku dan pekerjaan terkait</v>
          </cell>
          <cell r="G71" t="str">
            <v>Ls</v>
          </cell>
        </row>
        <row r="73">
          <cell r="B73" t="str">
            <v>3.1 (7)</v>
          </cell>
          <cell r="D73" t="str">
            <v xml:space="preserve">Galian Perkerasan Beraspal Dengan Cold Milling Machine </v>
          </cell>
          <cell r="G73" t="str">
            <v>M3</v>
          </cell>
        </row>
        <row r="75">
          <cell r="B75" t="str">
            <v>3.1 (8)</v>
          </cell>
          <cell r="D75" t="str">
            <v xml:space="preserve">Galian Perkerasan Beraspal Tanpa Cold Milling Machine </v>
          </cell>
          <cell r="G75" t="str">
            <v>M3</v>
          </cell>
        </row>
        <row r="77">
          <cell r="B77" t="str">
            <v>3.1 (9)</v>
          </cell>
          <cell r="D77" t="str">
            <v>Biaya Tambahan Utk. Pengangkutan Bahan Galian yang melebihi 5 Km</v>
          </cell>
          <cell r="G77" t="str">
            <v>M3/Km</v>
          </cell>
        </row>
        <row r="79">
          <cell r="B79" t="str">
            <v>3.2 (1)</v>
          </cell>
          <cell r="D79" t="str">
            <v>Timbunan Biasa</v>
          </cell>
          <cell r="G79" t="str">
            <v>M3</v>
          </cell>
          <cell r="H79">
            <v>1450</v>
          </cell>
          <cell r="I79">
            <v>56410</v>
          </cell>
          <cell r="J79">
            <v>81794500</v>
          </cell>
        </row>
        <row r="81">
          <cell r="B81" t="str">
            <v>3.2 (2)</v>
          </cell>
          <cell r="D81" t="str">
            <v>Timbunan Pilihan</v>
          </cell>
          <cell r="G81" t="str">
            <v>M3</v>
          </cell>
          <cell r="H81">
            <v>600</v>
          </cell>
          <cell r="I81">
            <v>77065</v>
          </cell>
          <cell r="J81">
            <v>46239000</v>
          </cell>
        </row>
        <row r="83">
          <cell r="B83" t="str">
            <v>3.2 (3)</v>
          </cell>
          <cell r="D83" t="str">
            <v>Timbunan Pilihan di atas Tanah Rawa (diukur diatas bak truk)</v>
          </cell>
          <cell r="G83" t="str">
            <v>M3</v>
          </cell>
        </row>
        <row r="85">
          <cell r="B85" t="str">
            <v>3.3</v>
          </cell>
          <cell r="D85" t="str">
            <v>Penyiapan Badan Jalan</v>
          </cell>
          <cell r="G85" t="str">
            <v>M2</v>
          </cell>
          <cell r="H85">
            <v>9600</v>
          </cell>
          <cell r="I85">
            <v>1800</v>
          </cell>
          <cell r="J85">
            <v>17280000</v>
          </cell>
        </row>
        <row r="88">
          <cell r="D88" t="str">
            <v>Jumlah Harga Penawaran Devisi 3  (masuk pada Rekapitulasi Daftar Kuantitas dan Harga)</v>
          </cell>
          <cell r="J88">
            <v>618367900</v>
          </cell>
        </row>
        <row r="92">
          <cell r="D92" t="str">
            <v>DIVISI  4.  PELEBARAN PERKERASAN DAN BAHU JALAN</v>
          </cell>
        </row>
        <row r="94">
          <cell r="B94" t="str">
            <v>4.2 (1)</v>
          </cell>
          <cell r="D94" t="str">
            <v>Lapis Pondasi Agregat Kelas A</v>
          </cell>
          <cell r="G94" t="str">
            <v>M3</v>
          </cell>
        </row>
        <row r="96">
          <cell r="B96" t="str">
            <v>4.2 (2)</v>
          </cell>
          <cell r="D96" t="str">
            <v>Lapis Pondasi Agregat Kelas B</v>
          </cell>
          <cell r="G96" t="str">
            <v>M3</v>
          </cell>
          <cell r="H96">
            <v>450</v>
          </cell>
          <cell r="I96">
            <v>159260</v>
          </cell>
          <cell r="J96">
            <v>71667000</v>
          </cell>
        </row>
        <row r="98">
          <cell r="B98" t="str">
            <v>4.2 (3)</v>
          </cell>
          <cell r="D98" t="str">
            <v>Semen Untuk Lapis Pondasi Semen Tanah</v>
          </cell>
          <cell r="G98" t="str">
            <v>TON</v>
          </cell>
        </row>
        <row r="100">
          <cell r="B100" t="str">
            <v>4.2 (4)</v>
          </cell>
          <cell r="D100" t="str">
            <v>Lapis Pondasi Semen Tanah</v>
          </cell>
          <cell r="G100" t="str">
            <v>M3</v>
          </cell>
        </row>
        <row r="102">
          <cell r="B102" t="str">
            <v>4.2 (5)</v>
          </cell>
          <cell r="D102" t="str">
            <v>Agregat Penutup (BURTU)</v>
          </cell>
          <cell r="G102" t="str">
            <v>M2</v>
          </cell>
        </row>
        <row r="104">
          <cell r="B104" t="str">
            <v>4.2 (6)</v>
          </cell>
          <cell r="D104" t="str">
            <v>Bahan Aspal Untuk Pekerjaan Pelaburan</v>
          </cell>
          <cell r="G104" t="str">
            <v>Liter</v>
          </cell>
        </row>
        <row r="106">
          <cell r="B106" t="str">
            <v>4.2 (7)</v>
          </cell>
          <cell r="D106" t="str">
            <v>Lapis Resap Pengikat</v>
          </cell>
          <cell r="G106" t="str">
            <v>Liter</v>
          </cell>
        </row>
        <row r="109">
          <cell r="D109" t="str">
            <v>Jumlah Harga Penawaran Devisi 4  (masuk pada Rekapitulasi Daftar Kuantitas dan Harga)</v>
          </cell>
          <cell r="J109">
            <v>71667000</v>
          </cell>
        </row>
        <row r="112">
          <cell r="D112" t="str">
            <v>DIVISI  5.  PERKERASAN  BERBUTIR</v>
          </cell>
        </row>
        <row r="114">
          <cell r="B114" t="str">
            <v>5.1 (1)</v>
          </cell>
          <cell r="D114" t="str">
            <v>Lapis Pondasi Agregat Kelas A</v>
          </cell>
          <cell r="G114" t="str">
            <v>M3</v>
          </cell>
          <cell r="H114">
            <v>1012.5</v>
          </cell>
          <cell r="I114">
            <v>175295</v>
          </cell>
          <cell r="J114">
            <v>177486187.5</v>
          </cell>
        </row>
        <row r="116">
          <cell r="B116" t="str">
            <v>5.1 (2)</v>
          </cell>
          <cell r="D116" t="str">
            <v>Lapis Pondasi Agregat Kelas B</v>
          </cell>
          <cell r="G116" t="str">
            <v>M3</v>
          </cell>
          <cell r="H116">
            <v>1350</v>
          </cell>
          <cell r="I116">
            <v>158681</v>
          </cell>
          <cell r="J116">
            <v>214219350</v>
          </cell>
        </row>
        <row r="118">
          <cell r="B118" t="str">
            <v>5.2 (1)</v>
          </cell>
          <cell r="D118" t="str">
            <v>Lapis Pondasi Agregat Kelas C</v>
          </cell>
          <cell r="G118" t="str">
            <v>M3</v>
          </cell>
          <cell r="H118">
            <v>5040</v>
          </cell>
          <cell r="I118">
            <v>125600</v>
          </cell>
          <cell r="J118">
            <v>633024000</v>
          </cell>
        </row>
        <row r="120">
          <cell r="B120" t="str">
            <v>5.4 (1)</v>
          </cell>
          <cell r="D120" t="str">
            <v>Semen Untuk Lapis pondasi semen tanah</v>
          </cell>
          <cell r="G120" t="str">
            <v>Ton</v>
          </cell>
          <cell r="I120">
            <v>91192500</v>
          </cell>
        </row>
        <row r="121">
          <cell r="I121">
            <v>285736500</v>
          </cell>
        </row>
        <row r="122">
          <cell r="B122" t="str">
            <v>5.4 (2)</v>
          </cell>
          <cell r="D122" t="str">
            <v>Lapis Pondasi Semen Tanah</v>
          </cell>
          <cell r="G122" t="str">
            <v>M3</v>
          </cell>
          <cell r="I122">
            <v>929754000</v>
          </cell>
        </row>
        <row r="123">
          <cell r="I123">
            <v>644017500</v>
          </cell>
        </row>
        <row r="126">
          <cell r="D126" t="str">
            <v>Jumlah Harga Penawaran Devisi 5  (masuk pada Rekapitulasi Daftar Kuantitas dan Harga)</v>
          </cell>
          <cell r="J126">
            <v>1024729537.5</v>
          </cell>
        </row>
        <row r="130">
          <cell r="D130" t="str">
            <v>DIVISI  6.  PERKERASAN  ASPAL</v>
          </cell>
        </row>
        <row r="132">
          <cell r="B132" t="str">
            <v>6.1 (1)</v>
          </cell>
          <cell r="D132" t="str">
            <v>Lapis Resap Pengikat</v>
          </cell>
          <cell r="G132" t="str">
            <v>Liter</v>
          </cell>
          <cell r="H132">
            <v>5400</v>
          </cell>
          <cell r="I132">
            <v>6198</v>
          </cell>
          <cell r="J132">
            <v>33469200</v>
          </cell>
        </row>
        <row r="134">
          <cell r="B134" t="str">
            <v>6.1 (2)</v>
          </cell>
          <cell r="D134" t="str">
            <v>Lapis Perekat</v>
          </cell>
          <cell r="G134" t="str">
            <v>Liter</v>
          </cell>
        </row>
        <row r="136">
          <cell r="B136" t="str">
            <v>6.2 (1)</v>
          </cell>
          <cell r="D136" t="str">
            <v>Agregat Penutup BURTU</v>
          </cell>
          <cell r="G136" t="str">
            <v>M2</v>
          </cell>
        </row>
        <row r="138">
          <cell r="B138" t="str">
            <v>6.2 (2)</v>
          </cell>
          <cell r="D138" t="str">
            <v>Agregat Penutup BURDA</v>
          </cell>
          <cell r="G138" t="str">
            <v>M2</v>
          </cell>
        </row>
        <row r="140">
          <cell r="B140" t="str">
            <v>6.2 (3)</v>
          </cell>
          <cell r="D140" t="str">
            <v>Bahan Aspal Untuk Pekerjaan Laburan</v>
          </cell>
          <cell r="G140" t="str">
            <v>Liter</v>
          </cell>
        </row>
        <row r="142">
          <cell r="B142" t="str">
            <v>6.3 (1)</v>
          </cell>
          <cell r="D142" t="str">
            <v>Latasir Klas A (SS-A)</v>
          </cell>
          <cell r="G142" t="str">
            <v>M2</v>
          </cell>
        </row>
        <row r="144">
          <cell r="B144" t="str">
            <v>6.3 (2)</v>
          </cell>
          <cell r="D144" t="str">
            <v>Latasir Klas B (SS-B)</v>
          </cell>
          <cell r="G144" t="str">
            <v>M2</v>
          </cell>
        </row>
        <row r="146">
          <cell r="B146" t="str">
            <v>6.3 (3)</v>
          </cell>
          <cell r="D146" t="str">
            <v>Lataston - Lapis Aus (HRS-WC)</v>
          </cell>
          <cell r="G146" t="str">
            <v>M2</v>
          </cell>
        </row>
        <row r="148">
          <cell r="B148" t="str">
            <v>6.3 (4)</v>
          </cell>
          <cell r="D148" t="str">
            <v>Lataston - Lapis Pondasi (HRS-Base)</v>
          </cell>
          <cell r="G148" t="str">
            <v>M3</v>
          </cell>
        </row>
        <row r="150">
          <cell r="B150" t="str">
            <v>6.3 (5)</v>
          </cell>
          <cell r="D150" t="str">
            <v>Laston - Lapis Aus (AC-WC)</v>
          </cell>
          <cell r="G150" t="str">
            <v>M2</v>
          </cell>
        </row>
        <row r="152">
          <cell r="B152" t="str">
            <v>6.3 (6)</v>
          </cell>
          <cell r="D152" t="str">
            <v>Laston - Lapis Pengikat Aspal Beton (AC-BC)</v>
          </cell>
          <cell r="G152" t="str">
            <v>M3</v>
          </cell>
          <cell r="H152">
            <v>337.5</v>
          </cell>
          <cell r="I152">
            <v>1161296</v>
          </cell>
          <cell r="J152">
            <v>391937400</v>
          </cell>
        </row>
        <row r="154">
          <cell r="B154" t="str">
            <v>6.3 (6)a</v>
          </cell>
          <cell r="D154" t="str">
            <v>Laston - Lapis Antara (AC-BC) Leveling</v>
          </cell>
          <cell r="G154" t="str">
            <v>TON</v>
          </cell>
        </row>
        <row r="156">
          <cell r="B156" t="str">
            <v>6.3 (7)</v>
          </cell>
          <cell r="D156" t="str">
            <v>Laston - Lapis Pondasi (AC-Base)</v>
          </cell>
          <cell r="G156" t="str">
            <v>M3</v>
          </cell>
        </row>
        <row r="158">
          <cell r="B158" t="str">
            <v>6.4 (1)</v>
          </cell>
          <cell r="D158" t="str">
            <v>Lasbutag</v>
          </cell>
          <cell r="G158" t="str">
            <v>M2</v>
          </cell>
        </row>
        <row r="160">
          <cell r="B160" t="str">
            <v>6.4 (2)</v>
          </cell>
          <cell r="D160" t="str">
            <v>Latasbusir Kelas A</v>
          </cell>
          <cell r="G160" t="str">
            <v>M2</v>
          </cell>
        </row>
        <row r="162">
          <cell r="B162" t="str">
            <v>6.4 (3)</v>
          </cell>
          <cell r="D162" t="str">
            <v>Latasbusir Kelas B</v>
          </cell>
          <cell r="G162" t="str">
            <v>M2</v>
          </cell>
        </row>
        <row r="164">
          <cell r="B164" t="str">
            <v>6.4 (4)</v>
          </cell>
          <cell r="D164" t="str">
            <v>Bitumen Asbuton</v>
          </cell>
          <cell r="G164" t="str">
            <v>Ton</v>
          </cell>
        </row>
        <row r="166">
          <cell r="B166" t="str">
            <v>6.4 (5)</v>
          </cell>
          <cell r="D166" t="str">
            <v>Bitumen Bahan Peremaja</v>
          </cell>
          <cell r="G166" t="str">
            <v>Ton</v>
          </cell>
        </row>
        <row r="168">
          <cell r="B168" t="str">
            <v>6.4 (6)</v>
          </cell>
          <cell r="D168" t="str">
            <v>Bahan Anti-Pengelupasan (Anti Striping Agent)</v>
          </cell>
          <cell r="G168" t="str">
            <v>Liter</v>
          </cell>
        </row>
        <row r="170">
          <cell r="B170" t="str">
            <v>6.5 (1)</v>
          </cell>
          <cell r="D170" t="str">
            <v>Campuran Aspal Dingin Untuk Pelapisan</v>
          </cell>
          <cell r="G170" t="str">
            <v>M3</v>
          </cell>
        </row>
        <row r="172">
          <cell r="B172" t="str">
            <v>6.6</v>
          </cell>
          <cell r="D172" t="str">
            <v xml:space="preserve">Lapis Perata Penetrasi Macadam </v>
          </cell>
          <cell r="G172" t="str">
            <v>M3</v>
          </cell>
        </row>
        <row r="176">
          <cell r="D176" t="str">
            <v>Jumlah Harga Penawaran Devisi 6  (masuk pada Rekapitulasi Daftar Kuantitas dan Harga)</v>
          </cell>
          <cell r="J176">
            <v>425406600</v>
          </cell>
        </row>
        <row r="180">
          <cell r="D180" t="str">
            <v>DIVISI  7.  STRUKTUR</v>
          </cell>
        </row>
        <row r="182">
          <cell r="B182" t="str">
            <v>7.1 (1)</v>
          </cell>
          <cell r="D182" t="str">
            <v>Beton K500</v>
          </cell>
          <cell r="G182" t="str">
            <v>M3</v>
          </cell>
        </row>
        <row r="183">
          <cell r="B183" t="str">
            <v>7.1 (2)</v>
          </cell>
          <cell r="D183" t="str">
            <v>Beton K400</v>
          </cell>
          <cell r="G183" t="str">
            <v>M3</v>
          </cell>
        </row>
        <row r="184">
          <cell r="B184" t="str">
            <v>7.1 (3)</v>
          </cell>
          <cell r="D184" t="str">
            <v>Beton K350</v>
          </cell>
          <cell r="G184" t="str">
            <v>M3</v>
          </cell>
        </row>
        <row r="185">
          <cell r="B185" t="str">
            <v>7.1 (4)</v>
          </cell>
          <cell r="D185" t="str">
            <v>Beton K300</v>
          </cell>
          <cell r="G185" t="str">
            <v>M3</v>
          </cell>
        </row>
        <row r="186">
          <cell r="B186" t="str">
            <v>7.1 (5)</v>
          </cell>
          <cell r="D186" t="str">
            <v>Beton K250</v>
          </cell>
          <cell r="G186" t="str">
            <v>M3</v>
          </cell>
          <cell r="H186">
            <v>62.1</v>
          </cell>
          <cell r="I186">
            <v>742137</v>
          </cell>
          <cell r="J186">
            <v>46086707.700000003</v>
          </cell>
        </row>
        <row r="187">
          <cell r="B187" t="str">
            <v>7.1 (6)</v>
          </cell>
          <cell r="D187" t="str">
            <v>Beton K175</v>
          </cell>
          <cell r="G187" t="str">
            <v>M3</v>
          </cell>
          <cell r="H187">
            <v>4.5</v>
          </cell>
          <cell r="I187">
            <v>595902</v>
          </cell>
          <cell r="J187">
            <v>2681559</v>
          </cell>
        </row>
        <row r="188">
          <cell r="B188" t="str">
            <v>7.1 (7)</v>
          </cell>
          <cell r="D188" t="str">
            <v>Beton Siklop K175</v>
          </cell>
          <cell r="G188" t="str">
            <v>M3</v>
          </cell>
        </row>
        <row r="189">
          <cell r="B189" t="str">
            <v>7.1 (8)</v>
          </cell>
          <cell r="D189" t="str">
            <v>Beton K125</v>
          </cell>
          <cell r="G189" t="str">
            <v>M3</v>
          </cell>
          <cell r="H189">
            <v>22.5</v>
          </cell>
          <cell r="I189">
            <v>489715</v>
          </cell>
          <cell r="J189">
            <v>11018587.5</v>
          </cell>
        </row>
        <row r="191">
          <cell r="B191" t="str">
            <v>7.2 (1)</v>
          </cell>
          <cell r="D191" t="str">
            <v>Unit Pracetak Gelagar Tipe I Bentang 16 meter</v>
          </cell>
          <cell r="G191" t="str">
            <v>Buah</v>
          </cell>
        </row>
        <row r="192">
          <cell r="B192" t="str">
            <v>7.2 (2)</v>
          </cell>
          <cell r="D192" t="str">
            <v>Unit Pracetak Gelagar Tipe I Bentang 20 meter</v>
          </cell>
          <cell r="G192" t="str">
            <v>Buah</v>
          </cell>
        </row>
        <row r="193">
          <cell r="B193" t="str">
            <v>7.2 (3)</v>
          </cell>
          <cell r="D193" t="str">
            <v>Unit Pracetak Gelagar Tipe I Bentang 22 meter</v>
          </cell>
          <cell r="G193" t="str">
            <v>Buah</v>
          </cell>
        </row>
        <row r="194">
          <cell r="B194" t="str">
            <v>7.2 (4)</v>
          </cell>
          <cell r="D194" t="str">
            <v>Unit Pracetak Gelagar Tipe I Bentang 25 meter</v>
          </cell>
          <cell r="G194" t="str">
            <v>Buah</v>
          </cell>
        </row>
        <row r="195">
          <cell r="B195" t="str">
            <v>7.2 (5)</v>
          </cell>
          <cell r="D195" t="str">
            <v>Unit Pracetak Gelagar Tipe I Bentang 28 meter</v>
          </cell>
          <cell r="G195" t="str">
            <v>Buah</v>
          </cell>
        </row>
        <row r="196">
          <cell r="B196" t="str">
            <v>7.2 (6)</v>
          </cell>
          <cell r="D196" t="str">
            <v>Unit Pracetak Gelagar Tipe I Bentang 30 meter</v>
          </cell>
          <cell r="G196" t="str">
            <v>Buah</v>
          </cell>
        </row>
        <row r="197">
          <cell r="B197" t="str">
            <v>7.2 (7)</v>
          </cell>
          <cell r="D197" t="str">
            <v>Unit Pracetak Gelagar Tipe I Bentang 31 meter</v>
          </cell>
          <cell r="G197" t="str">
            <v>Buah</v>
          </cell>
        </row>
        <row r="198">
          <cell r="B198" t="str">
            <v>7.2 (8)</v>
          </cell>
          <cell r="D198" t="str">
            <v>Unit Pracetak Gelagar Tipe I Bentang 35 meter</v>
          </cell>
          <cell r="G198" t="str">
            <v>Buah</v>
          </cell>
        </row>
        <row r="199">
          <cell r="B199" t="str">
            <v>7.2 (9)</v>
          </cell>
          <cell r="D199" t="str">
            <v>Baja Prategang</v>
          </cell>
          <cell r="G199" t="str">
            <v>Kg</v>
          </cell>
        </row>
        <row r="200">
          <cell r="B200" t="str">
            <v>7.2 (10)</v>
          </cell>
          <cell r="D200" t="str">
            <v>Plat Berongga (Hollow Slab) Pracetak Bentang 21 Meter</v>
          </cell>
          <cell r="G200" t="str">
            <v>Kg</v>
          </cell>
        </row>
        <row r="201">
          <cell r="B201" t="str">
            <v>7.2 (11)</v>
          </cell>
          <cell r="D201" t="str">
            <v>Beton Diafragma K350 Termasuk Pekerjaan Pra Penegangan</v>
          </cell>
          <cell r="G201" t="str">
            <v>Buah</v>
          </cell>
        </row>
        <row r="203">
          <cell r="B203" t="str">
            <v>7.3 (1)</v>
          </cell>
          <cell r="D203" t="str">
            <v>Baja Tulangan U24 Polos</v>
          </cell>
          <cell r="G203" t="str">
            <v>Kg</v>
          </cell>
          <cell r="H203">
            <v>8073</v>
          </cell>
          <cell r="I203">
            <v>12259</v>
          </cell>
          <cell r="J203">
            <v>98966907</v>
          </cell>
        </row>
        <row r="204">
          <cell r="B204" t="str">
            <v>7.3 (2)</v>
          </cell>
          <cell r="D204" t="str">
            <v>Baja Tulangan U32 Polos</v>
          </cell>
          <cell r="G204" t="str">
            <v>Kg</v>
          </cell>
        </row>
        <row r="205">
          <cell r="B205" t="str">
            <v>7.3 (3)</v>
          </cell>
          <cell r="D205" t="str">
            <v>Baja Tulangan D32 Ulir</v>
          </cell>
          <cell r="G205" t="str">
            <v>Kg</v>
          </cell>
        </row>
        <row r="206">
          <cell r="B206" t="str">
            <v>7.3 (4)</v>
          </cell>
          <cell r="D206" t="str">
            <v>Baja Tulangan D39 Ulir</v>
          </cell>
          <cell r="G206" t="str">
            <v>Kg</v>
          </cell>
        </row>
        <row r="207">
          <cell r="B207" t="str">
            <v>7.3 (5)</v>
          </cell>
          <cell r="D207" t="str">
            <v>Baja Tulangan D48 Ulir</v>
          </cell>
          <cell r="G207" t="str">
            <v>Kg</v>
          </cell>
        </row>
        <row r="208">
          <cell r="B208" t="str">
            <v>7.3 (6)</v>
          </cell>
          <cell r="D208" t="str">
            <v>Anyaman Kawat yang Dilas (Welded Wire Mesh)</v>
          </cell>
          <cell r="G208" t="str">
            <v>Kg</v>
          </cell>
        </row>
        <row r="210">
          <cell r="B210" t="str">
            <v>7.4 (1)</v>
          </cell>
          <cell r="D210" t="str">
            <v>Baja Struktur Titik Leleh 2500 kg/cm2, Penyediaan dan pemasangan</v>
          </cell>
          <cell r="G210" t="str">
            <v>Kg</v>
          </cell>
        </row>
        <row r="211">
          <cell r="B211" t="str">
            <v>7.4 (2)</v>
          </cell>
          <cell r="D211" t="str">
            <v>Baja Struktur Titik Leleh 2800 kg/cm2, Penyediaan dan pemasangan</v>
          </cell>
          <cell r="G211" t="str">
            <v>Kg</v>
          </cell>
        </row>
        <row r="212">
          <cell r="B212" t="str">
            <v>7.4 (3)</v>
          </cell>
          <cell r="D212" t="str">
            <v>Baja Struktur Titik Leleh 3500 kg/cm2, Penyediaan dan pemasangan</v>
          </cell>
          <cell r="G212" t="str">
            <v>Kg</v>
          </cell>
        </row>
        <row r="214">
          <cell r="B214" t="str">
            <v>7.5 (1)</v>
          </cell>
          <cell r="D214" t="str">
            <v>Pemasangan Jembatan Rangka Baja</v>
          </cell>
          <cell r="G214" t="str">
            <v>Kg</v>
          </cell>
        </row>
        <row r="215">
          <cell r="B215" t="str">
            <v>7.5 (2)</v>
          </cell>
          <cell r="D215" t="str">
            <v>Pengangkutan Bahan Jembatan</v>
          </cell>
          <cell r="G215" t="str">
            <v>Kg</v>
          </cell>
        </row>
        <row r="216">
          <cell r="B216" t="str">
            <v>7.5 (3)</v>
          </cell>
          <cell r="D216" t="str">
            <v>Penyiapan Jembatan Rangka Baja</v>
          </cell>
          <cell r="G216" t="str">
            <v>Kg</v>
          </cell>
        </row>
        <row r="218">
          <cell r="B218" t="str">
            <v>7.6 (1)</v>
          </cell>
          <cell r="D218" t="str">
            <v>Pondasi Cerucuk, Penyediaan dan Pemancangan</v>
          </cell>
          <cell r="G218" t="str">
            <v>M1</v>
          </cell>
        </row>
        <row r="219">
          <cell r="B219" t="str">
            <v>7.6 (2)</v>
          </cell>
          <cell r="D219" t="str">
            <v>Dinding Turap Kayu Tanpa Pengawetan</v>
          </cell>
          <cell r="G219" t="str">
            <v>M2</v>
          </cell>
        </row>
        <row r="220">
          <cell r="B220" t="str">
            <v>7.6 (3)</v>
          </cell>
          <cell r="D220" t="str">
            <v>Dinding Turap Kayu Dengan Pengawetan</v>
          </cell>
          <cell r="G220" t="str">
            <v>M2</v>
          </cell>
        </row>
        <row r="224">
          <cell r="B224" t="str">
            <v>7.6 (4)</v>
          </cell>
          <cell r="D224" t="str">
            <v>Dinding Turap Baja</v>
          </cell>
          <cell r="G224" t="str">
            <v>M2</v>
          </cell>
        </row>
        <row r="225">
          <cell r="B225" t="str">
            <v>7.6 (5)</v>
          </cell>
          <cell r="D225" t="str">
            <v>Dinding Turap Beton</v>
          </cell>
          <cell r="G225" t="str">
            <v>M2</v>
          </cell>
        </row>
        <row r="226">
          <cell r="B226" t="str">
            <v>7.6 (6)</v>
          </cell>
          <cell r="D226" t="str">
            <v>Penyediaan Tiang Pancang Kayu Tanpa Pengawetan</v>
          </cell>
          <cell r="G226" t="str">
            <v>M3</v>
          </cell>
        </row>
        <row r="227">
          <cell r="B227" t="str">
            <v>7.6 (7)</v>
          </cell>
          <cell r="D227" t="str">
            <v>Penyediaan Tiang Pancang Kayu Dengan Pengawetan</v>
          </cell>
          <cell r="G227" t="str">
            <v>M3</v>
          </cell>
        </row>
        <row r="228">
          <cell r="B228" t="str">
            <v>7.6 (8)</v>
          </cell>
          <cell r="D228" t="str">
            <v>Penyediaan Tiang Pancang Baja</v>
          </cell>
          <cell r="G228" t="str">
            <v>Kg</v>
          </cell>
        </row>
        <row r="229">
          <cell r="B229" t="str">
            <v>7.6 (9)</v>
          </cell>
          <cell r="D229" t="str">
            <v>Penyediaan Tiang Pancang Beton Bertulang Pracetak</v>
          </cell>
          <cell r="G229" t="str">
            <v>M3</v>
          </cell>
        </row>
        <row r="230">
          <cell r="B230" t="str">
            <v>7.6 (10)</v>
          </cell>
          <cell r="D230" t="str">
            <v>Penyediaan Tiang Pancang Beton Pratekan Pracetak</v>
          </cell>
          <cell r="G230" t="str">
            <v>M1</v>
          </cell>
        </row>
        <row r="231">
          <cell r="B231" t="str">
            <v>7.6 (11)</v>
          </cell>
          <cell r="D231" t="str">
            <v>Pemancangan Tiang Pancang Kayu</v>
          </cell>
          <cell r="G231" t="str">
            <v>M1</v>
          </cell>
        </row>
        <row r="232">
          <cell r="B232" t="str">
            <v>7.6 (12)</v>
          </cell>
          <cell r="D232" t="str">
            <v>Pemancangan Tiang Pancang Pipa Baja : Diameter 400 mm</v>
          </cell>
          <cell r="G232" t="str">
            <v>M1</v>
          </cell>
        </row>
        <row r="233">
          <cell r="B233" t="str">
            <v>7.6 (13)</v>
          </cell>
          <cell r="D233" t="str">
            <v>Pemancangan Tiang Pancang Pipa Baja : Diameter 500 mm</v>
          </cell>
          <cell r="G233" t="str">
            <v>M1</v>
          </cell>
        </row>
        <row r="234">
          <cell r="B234" t="str">
            <v>7.6 (14)</v>
          </cell>
          <cell r="D234" t="str">
            <v>Pemancangan Tiang Pancang Pipa Baja : Diameter 600 mm</v>
          </cell>
          <cell r="G234" t="str">
            <v>M1</v>
          </cell>
        </row>
        <row r="235">
          <cell r="B235" t="str">
            <v>7.6 (15)</v>
          </cell>
          <cell r="D235" t="str">
            <v>Pemancangan Tiang Pancang Beton Pracetak :</v>
          </cell>
          <cell r="G235" t="str">
            <v>M1</v>
          </cell>
        </row>
        <row r="236">
          <cell r="D236" t="str">
            <v>30 cm x 30 cm atau diameter 300 mm</v>
          </cell>
        </row>
        <row r="237">
          <cell r="B237" t="str">
            <v>7.6 (16)</v>
          </cell>
          <cell r="D237" t="str">
            <v>Pemancangan Tiang Pancang Beton Pracetak :</v>
          </cell>
          <cell r="G237" t="str">
            <v>M1</v>
          </cell>
        </row>
        <row r="238">
          <cell r="D238" t="str">
            <v>40 cm x 40 cm atau diameter 400 mm</v>
          </cell>
        </row>
        <row r="239">
          <cell r="B239" t="str">
            <v>7.6 (17)</v>
          </cell>
          <cell r="D239" t="str">
            <v>Pemancangan Tiang Pancang Beton Pracetak :</v>
          </cell>
          <cell r="G239" t="str">
            <v>M1</v>
          </cell>
        </row>
        <row r="240">
          <cell r="D240" t="str">
            <v>50 cm x 50 cm atau diameter 500 mm</v>
          </cell>
        </row>
        <row r="241">
          <cell r="B241" t="str">
            <v>7.6 (18)</v>
          </cell>
          <cell r="D241" t="str">
            <v>Tiang Bor Beton, Diameter 600 mm</v>
          </cell>
          <cell r="G241" t="str">
            <v>M1</v>
          </cell>
        </row>
        <row r="242">
          <cell r="B242" t="str">
            <v>7.6 (19)</v>
          </cell>
          <cell r="D242" t="str">
            <v>Tiang Bor Beton, Diameter 800 mm</v>
          </cell>
          <cell r="G242" t="str">
            <v>M1</v>
          </cell>
        </row>
        <row r="243">
          <cell r="B243" t="str">
            <v>7.6 (20)</v>
          </cell>
          <cell r="D243" t="str">
            <v>Tiang Bor Beton, Diameter 1000 mm</v>
          </cell>
          <cell r="G243" t="str">
            <v>M1</v>
          </cell>
        </row>
        <row r="244">
          <cell r="B244" t="str">
            <v>7.6 (21)</v>
          </cell>
          <cell r="D244" t="str">
            <v>Tiang Bor Beton, Diameter 1200 mm</v>
          </cell>
          <cell r="G244" t="str">
            <v>M1</v>
          </cell>
        </row>
        <row r="245">
          <cell r="B245" t="str">
            <v>7.6 (22)</v>
          </cell>
          <cell r="D245" t="str">
            <v>Tiang Bor Beton, Diameter 1500 mm</v>
          </cell>
          <cell r="G245" t="str">
            <v>M1</v>
          </cell>
        </row>
        <row r="246">
          <cell r="B246" t="str">
            <v>7.6 (23)</v>
          </cell>
          <cell r="D246" t="str">
            <v>Tambahan Biaya untuk Nomor Mata Pembayaran 7.6 (11) s/d</v>
          </cell>
          <cell r="G246" t="str">
            <v>M1</v>
          </cell>
        </row>
        <row r="247">
          <cell r="D247" t="str">
            <v>7.6 (13) bila Tiang Pancang Beton Dikerjakan di Tempat berair</v>
          </cell>
        </row>
        <row r="248">
          <cell r="B248" t="str">
            <v>7.6 (24)</v>
          </cell>
          <cell r="D248" t="str">
            <v>Tambahan Biaya untuk Nomor Mata Pembayaran 7.6 (18) s/d</v>
          </cell>
          <cell r="G248" t="str">
            <v>M1</v>
          </cell>
        </row>
        <row r="249">
          <cell r="D249" t="str">
            <v>7.6 (22) bila Tiang Bor Beton Dikerjakan di Tempat berair</v>
          </cell>
        </row>
        <row r="250">
          <cell r="B250" t="str">
            <v>7.6 (25)</v>
          </cell>
          <cell r="D250" t="str">
            <v>Pengujian Pembebanan Pada Tiang dengan Diameter s/d 600 mm</v>
          </cell>
          <cell r="G250" t="str">
            <v>Buah</v>
          </cell>
        </row>
        <row r="251">
          <cell r="B251" t="str">
            <v>7.6 (26)</v>
          </cell>
          <cell r="D251" t="str">
            <v>Pengujian Pembebanan Pada Tiang dengan Diameter diatas 600 mm</v>
          </cell>
          <cell r="G251" t="str">
            <v>Buah</v>
          </cell>
        </row>
        <row r="253">
          <cell r="B253" t="str">
            <v>7.7 (1)</v>
          </cell>
          <cell r="D253" t="str">
            <v>Penyediaan Dinding Sumuran Silinder, Diameter 250cm</v>
          </cell>
          <cell r="G253" t="str">
            <v>M1</v>
          </cell>
        </row>
        <row r="254">
          <cell r="B254" t="str">
            <v>7.7 (2)</v>
          </cell>
          <cell r="D254" t="str">
            <v>Penyediaan Dinding Sumuran Silinder, Diameter 300cm</v>
          </cell>
          <cell r="G254" t="str">
            <v>M1</v>
          </cell>
        </row>
        <row r="255">
          <cell r="B255" t="str">
            <v>7.7 (3)</v>
          </cell>
          <cell r="D255" t="str">
            <v>Penyediaan Dinding Sumuran Silinder, Diameter 350cm</v>
          </cell>
          <cell r="G255" t="str">
            <v>M1</v>
          </cell>
        </row>
        <row r="256">
          <cell r="B256" t="str">
            <v>7.7 (4)</v>
          </cell>
          <cell r="D256" t="str">
            <v>Penyediaan Dinding Sumuran Silinder, Diameter 400cm</v>
          </cell>
          <cell r="G256" t="str">
            <v>M1</v>
          </cell>
        </row>
        <row r="257">
          <cell r="B257" t="str">
            <v>7.7 (5)</v>
          </cell>
          <cell r="D257" t="str">
            <v>Penurunan Dinding Sumuran Silinder, Diameter 250cm</v>
          </cell>
          <cell r="G257" t="str">
            <v>M1</v>
          </cell>
        </row>
        <row r="258">
          <cell r="B258" t="str">
            <v>7.7 (6)</v>
          </cell>
          <cell r="D258" t="str">
            <v>Penurunan Dinding Sumuran Silinder, Diameter 300cm</v>
          </cell>
          <cell r="G258" t="str">
            <v>M1</v>
          </cell>
        </row>
        <row r="259">
          <cell r="B259" t="str">
            <v>7.7 (7)</v>
          </cell>
          <cell r="D259" t="str">
            <v>Penurunan Dinding Sumuran Silinder, Diameter 350cm</v>
          </cell>
          <cell r="G259" t="str">
            <v>M1</v>
          </cell>
        </row>
        <row r="260">
          <cell r="B260" t="str">
            <v>7.7 (8)</v>
          </cell>
          <cell r="D260" t="str">
            <v>Penurunan Dinding Sumuran Silinder, Diameter 400cm</v>
          </cell>
          <cell r="G260" t="str">
            <v>M1</v>
          </cell>
        </row>
        <row r="265">
          <cell r="B265" t="str">
            <v>7.9</v>
          </cell>
          <cell r="D265" t="str">
            <v>Pasangan Batu</v>
          </cell>
          <cell r="G265" t="str">
            <v>M3</v>
          </cell>
          <cell r="H265">
            <v>215</v>
          </cell>
          <cell r="I265">
            <v>242947</v>
          </cell>
          <cell r="J265">
            <v>52233605</v>
          </cell>
        </row>
        <row r="267">
          <cell r="B267" t="str">
            <v>7.10 (1)</v>
          </cell>
          <cell r="D267" t="str">
            <v>Pasangan Batu Kosong Diisi Adukan</v>
          </cell>
          <cell r="G267" t="str">
            <v>M3</v>
          </cell>
        </row>
        <row r="268">
          <cell r="B268" t="str">
            <v>7.10 (2)</v>
          </cell>
          <cell r="D268" t="str">
            <v>Pasangan Batu Kosong</v>
          </cell>
          <cell r="G268" t="str">
            <v>M3</v>
          </cell>
        </row>
        <row r="269">
          <cell r="B269" t="str">
            <v>7.10 (3)</v>
          </cell>
          <cell r="D269" t="str">
            <v xml:space="preserve">Bronjong </v>
          </cell>
          <cell r="G269" t="str">
            <v>M3</v>
          </cell>
          <cell r="H269">
            <v>230</v>
          </cell>
          <cell r="I269">
            <v>351780</v>
          </cell>
          <cell r="J269">
            <v>80909400</v>
          </cell>
        </row>
        <row r="271">
          <cell r="B271" t="str">
            <v>7.11 (1)</v>
          </cell>
          <cell r="D271" t="str">
            <v>Expansion Joint Tipe Torma</v>
          </cell>
          <cell r="G271" t="str">
            <v>M1</v>
          </cell>
        </row>
        <row r="272">
          <cell r="B272" t="str">
            <v>7.11 (2)</v>
          </cell>
          <cell r="D272" t="str">
            <v>Expansion Joint Tipe Rubber 1 (celah 21 - 41 mm)</v>
          </cell>
          <cell r="G272" t="str">
            <v>M1</v>
          </cell>
        </row>
        <row r="273">
          <cell r="B273" t="str">
            <v>7.11 (3)</v>
          </cell>
          <cell r="D273" t="str">
            <v>Expansion Joint Tipe Rubber 2 (celah 32  62 mm)</v>
          </cell>
          <cell r="G273" t="str">
            <v>M1</v>
          </cell>
        </row>
        <row r="274">
          <cell r="B274" t="str">
            <v>7.11 (4)</v>
          </cell>
          <cell r="D274" t="str">
            <v>Expansion Joint Tipe Rubber 3 (celah 42 - 82 mm)</v>
          </cell>
          <cell r="G274" t="str">
            <v>M1</v>
          </cell>
        </row>
        <row r="275">
          <cell r="B275" t="str">
            <v>7.11 (5)</v>
          </cell>
          <cell r="D275" t="str">
            <v>Joint Filler untuk Sambungan Konstruksi</v>
          </cell>
          <cell r="G275" t="str">
            <v>M1</v>
          </cell>
        </row>
        <row r="276">
          <cell r="B276" t="str">
            <v>7.11 (6)</v>
          </cell>
          <cell r="D276" t="str">
            <v>Expansion Joint Tipe Baja Bersudut</v>
          </cell>
          <cell r="G276" t="str">
            <v>M1</v>
          </cell>
        </row>
        <row r="278">
          <cell r="B278" t="str">
            <v>7.12 (1)</v>
          </cell>
          <cell r="D278" t="str">
            <v xml:space="preserve">Perletakan Logam </v>
          </cell>
          <cell r="G278" t="str">
            <v>Buah</v>
          </cell>
        </row>
        <row r="279">
          <cell r="B279" t="str">
            <v>7.12 (2)</v>
          </cell>
          <cell r="D279" t="str">
            <v>Perletakan Elastomerik Jenis 1 (300 x 350 x 36)</v>
          </cell>
          <cell r="G279" t="str">
            <v>Buah</v>
          </cell>
        </row>
        <row r="280">
          <cell r="B280" t="str">
            <v>7.12 (3)</v>
          </cell>
          <cell r="D280" t="str">
            <v>Perletakan Elastomerik Jenis 2 (350 x 439)</v>
          </cell>
          <cell r="G280" t="str">
            <v>Buah</v>
          </cell>
        </row>
        <row r="281">
          <cell r="B281" t="str">
            <v>7.12 (4)</v>
          </cell>
          <cell r="D281" t="str">
            <v>Perletakan Elastomerik Jenis 3 (400 x 450)</v>
          </cell>
          <cell r="G281" t="str">
            <v>Buah</v>
          </cell>
        </row>
        <row r="282">
          <cell r="B282" t="str">
            <v>7.12 (5)</v>
          </cell>
          <cell r="D282" t="str">
            <v>Perletakan Strip</v>
          </cell>
          <cell r="G282" t="str">
            <v>M1</v>
          </cell>
        </row>
        <row r="284">
          <cell r="B284" t="str">
            <v>7.13</v>
          </cell>
          <cell r="D284" t="str">
            <v>Sandaran (Railing)</v>
          </cell>
          <cell r="G284" t="str">
            <v>M1</v>
          </cell>
          <cell r="I284" t="e">
            <v>#REF!</v>
          </cell>
        </row>
        <row r="286">
          <cell r="B286" t="str">
            <v>7.14</v>
          </cell>
          <cell r="D286" t="str">
            <v>Papan Nama Jembatan</v>
          </cell>
          <cell r="G286" t="str">
            <v>Buah</v>
          </cell>
        </row>
        <row r="288">
          <cell r="B288" t="str">
            <v>7.15 (1)</v>
          </cell>
          <cell r="D288" t="str">
            <v>Pembongkaran Psangan Batu</v>
          </cell>
          <cell r="G288" t="str">
            <v>M3</v>
          </cell>
        </row>
        <row r="289">
          <cell r="B289" t="str">
            <v>7.15 (2)</v>
          </cell>
          <cell r="D289" t="str">
            <v>Pembongkaran Beton</v>
          </cell>
          <cell r="G289" t="str">
            <v>M3</v>
          </cell>
        </row>
        <row r="290">
          <cell r="B290" t="str">
            <v>7.15 (3)</v>
          </cell>
          <cell r="D290" t="str">
            <v>Pembongkaran Beton Pratekan</v>
          </cell>
          <cell r="G290" t="str">
            <v>M2</v>
          </cell>
        </row>
        <row r="291">
          <cell r="B291" t="str">
            <v>7.15 (4)</v>
          </cell>
          <cell r="D291" t="str">
            <v>Pembongkaran Bangunan Gedung</v>
          </cell>
          <cell r="G291" t="str">
            <v>M2</v>
          </cell>
        </row>
        <row r="292">
          <cell r="B292" t="str">
            <v>7.15 (5)</v>
          </cell>
          <cell r="D292" t="str">
            <v>Pembongkaran Rangka Baja</v>
          </cell>
          <cell r="G292" t="str">
            <v>M2</v>
          </cell>
        </row>
        <row r="293">
          <cell r="B293" t="str">
            <v>7.15 (6)</v>
          </cell>
          <cell r="D293" t="str">
            <v>Pembongkaran Balok Baja (Steel Stringers)</v>
          </cell>
          <cell r="G293" t="str">
            <v>M1</v>
          </cell>
        </row>
        <row r="294">
          <cell r="B294" t="str">
            <v>7.15 (7)</v>
          </cell>
          <cell r="D294" t="str">
            <v>Pembongkaran Lantai Jembatan Kayu</v>
          </cell>
          <cell r="G294" t="str">
            <v>M2</v>
          </cell>
        </row>
        <row r="295">
          <cell r="B295" t="str">
            <v>7.15 (8)</v>
          </cell>
          <cell r="D295" t="str">
            <v>Pembongkaran Jembatan Kayu</v>
          </cell>
          <cell r="G295" t="str">
            <v>M2</v>
          </cell>
        </row>
        <row r="296">
          <cell r="B296" t="str">
            <v>7.15 (9)</v>
          </cell>
          <cell r="D296" t="str">
            <v>Pengangkutan Hasil Bongkaran yang melebihi 5 Km.</v>
          </cell>
          <cell r="G296" t="str">
            <v>M3/Km</v>
          </cell>
        </row>
        <row r="299">
          <cell r="D299" t="str">
            <v>Jumlah Harga Penawaran Devisi 7  (masuk pada Rekapitulasi Daftar Kuantitas dan Harga)</v>
          </cell>
          <cell r="J299">
            <v>291896766.19999999</v>
          </cell>
        </row>
        <row r="303">
          <cell r="D303" t="str">
            <v>DIVISI 8. PENGEMBALIAN KONDISI DAN PEKERJAAN MINOR</v>
          </cell>
        </row>
        <row r="305">
          <cell r="B305" t="str">
            <v>8.1 (1)</v>
          </cell>
          <cell r="D305" t="str">
            <v>Lapis Pondasi agregat Kelas A untuk Pekerjaan Minor</v>
          </cell>
          <cell r="G305" t="str">
            <v>M3</v>
          </cell>
          <cell r="H305">
            <v>30</v>
          </cell>
          <cell r="I305">
            <v>155697</v>
          </cell>
          <cell r="J305">
            <v>4670910</v>
          </cell>
        </row>
        <row r="306">
          <cell r="B306" t="str">
            <v>8.1 (2)</v>
          </cell>
          <cell r="D306" t="str">
            <v>Lapis Pondasi agregat Kelas B untuk Pekerjaan Minor</v>
          </cell>
          <cell r="G306" t="str">
            <v>M3</v>
          </cell>
        </row>
        <row r="307">
          <cell r="B307" t="str">
            <v>8.1 (3)</v>
          </cell>
          <cell r="D307" t="str">
            <v>Agregat untuk.Lapis Pondasi Jalan Tanpa Penutup untuk</v>
          </cell>
          <cell r="G307" t="str">
            <v>M3</v>
          </cell>
        </row>
        <row r="308">
          <cell r="D308" t="str">
            <v>Pekerjaan Minor</v>
          </cell>
        </row>
        <row r="309">
          <cell r="B309" t="str">
            <v>8.1 (4)</v>
          </cell>
          <cell r="D309" t="str">
            <v>Waterbound Macadam untuk Pekerjaan Minor</v>
          </cell>
          <cell r="G309" t="str">
            <v>M3</v>
          </cell>
        </row>
        <row r="310">
          <cell r="B310" t="str">
            <v>8.1 (5)</v>
          </cell>
          <cell r="D310" t="str">
            <v>Campuran Aspal Panas untuk Pekerjaan Minor</v>
          </cell>
          <cell r="G310" t="str">
            <v>M3</v>
          </cell>
          <cell r="H310">
            <v>10</v>
          </cell>
          <cell r="I310">
            <v>1220039</v>
          </cell>
          <cell r="J310">
            <v>12200390</v>
          </cell>
        </row>
        <row r="311">
          <cell r="B311" t="str">
            <v>8.1 (6)</v>
          </cell>
          <cell r="D311" t="str">
            <v>Lasbutag atau Latasbusir untuk Pekerjaan Minor</v>
          </cell>
          <cell r="G311" t="str">
            <v>M3</v>
          </cell>
        </row>
        <row r="312">
          <cell r="B312" t="str">
            <v>8.1 (7)</v>
          </cell>
          <cell r="D312" t="str">
            <v>Penetrasi Macadam untuk Pekerjaan Minor</v>
          </cell>
          <cell r="G312" t="str">
            <v>M3</v>
          </cell>
        </row>
        <row r="313">
          <cell r="B313" t="str">
            <v>8.1 (8)</v>
          </cell>
          <cell r="D313" t="str">
            <v>Campuran Aspal Dingin untuk Pekerjaan Minor</v>
          </cell>
          <cell r="G313" t="str">
            <v>M3</v>
          </cell>
        </row>
        <row r="314">
          <cell r="B314" t="str">
            <v>8.1 (9)</v>
          </cell>
          <cell r="D314" t="str">
            <v>Bitumen Residual untuk Pekerjaan Minor</v>
          </cell>
          <cell r="G314" t="str">
            <v>Liter</v>
          </cell>
          <cell r="H314">
            <v>160</v>
          </cell>
          <cell r="I314">
            <v>6508</v>
          </cell>
          <cell r="J314">
            <v>1041280</v>
          </cell>
        </row>
        <row r="316">
          <cell r="B316" t="str">
            <v>8.2 (1)</v>
          </cell>
          <cell r="D316" t="str">
            <v>Galian untuk Bahu Jalan dan Pekerjaan Minor Lainnya</v>
          </cell>
          <cell r="G316" t="str">
            <v>M</v>
          </cell>
        </row>
        <row r="317">
          <cell r="B317" t="str">
            <v>8.2 (2)</v>
          </cell>
          <cell r="D317" t="str">
            <v>Penebangan Pohon Diameter 15 - 30 cm</v>
          </cell>
          <cell r="G317" t="str">
            <v>Batang</v>
          </cell>
        </row>
        <row r="318">
          <cell r="B318" t="str">
            <v>8.2 (3)</v>
          </cell>
          <cell r="D318" t="str">
            <v>Pemotongan Pohon Diameter 30 - 50 cm</v>
          </cell>
          <cell r="G318" t="str">
            <v>Batang</v>
          </cell>
        </row>
        <row r="319">
          <cell r="B319" t="str">
            <v>8.2 (4)</v>
          </cell>
          <cell r="D319" t="str">
            <v>Pemotongan Pohon Diameter 50 - 75 cm</v>
          </cell>
          <cell r="G319" t="str">
            <v>Batang</v>
          </cell>
        </row>
        <row r="320">
          <cell r="B320" t="str">
            <v>8.2 (5)</v>
          </cell>
          <cell r="D320" t="str">
            <v>Pemotongan Pohon Diameter &gt; 75 cm</v>
          </cell>
          <cell r="G320" t="str">
            <v>Batang</v>
          </cell>
        </row>
        <row r="322">
          <cell r="B322" t="str">
            <v>8.3 (1)</v>
          </cell>
          <cell r="D322" t="str">
            <v>Stabilisasi dengan Tanaman</v>
          </cell>
          <cell r="G322" t="str">
            <v>M2</v>
          </cell>
        </row>
        <row r="323">
          <cell r="B323" t="str">
            <v>8.3 (2)</v>
          </cell>
          <cell r="D323" t="str">
            <v>Semak/Perdu</v>
          </cell>
          <cell r="G323" t="str">
            <v>M2</v>
          </cell>
        </row>
        <row r="324">
          <cell r="B324" t="str">
            <v>8.3 (3)</v>
          </cell>
          <cell r="D324" t="str">
            <v>Pohon</v>
          </cell>
          <cell r="G324" t="str">
            <v>Batang</v>
          </cell>
        </row>
        <row r="326">
          <cell r="B326" t="str">
            <v>8.4 (1)</v>
          </cell>
          <cell r="D326" t="str">
            <v>Marka Jalan Bukan Thermoplastic</v>
          </cell>
          <cell r="G326" t="str">
            <v>M2</v>
          </cell>
          <cell r="I326" t="e">
            <v>#REF!</v>
          </cell>
        </row>
        <row r="327">
          <cell r="B327" t="str">
            <v>8.4 (2)</v>
          </cell>
          <cell r="D327" t="str">
            <v>Marka Jalan Thermoplastic</v>
          </cell>
          <cell r="G327" t="str">
            <v>M2</v>
          </cell>
        </row>
        <row r="328">
          <cell r="B328" t="str">
            <v>8.4 (3)a</v>
          </cell>
          <cell r="D328" t="str">
            <v>Rambu Jalan Tunggal dengan Perm. Pemantul Engineering Grade</v>
          </cell>
          <cell r="G328" t="str">
            <v>Buah</v>
          </cell>
        </row>
        <row r="329">
          <cell r="B329" t="str">
            <v>8.4 (3)b</v>
          </cell>
          <cell r="D329" t="str">
            <v>Rambu Jalan Ganda dengan Perm. Pemantul Engineering Grade</v>
          </cell>
          <cell r="G329" t="str">
            <v>Buah</v>
          </cell>
        </row>
        <row r="330">
          <cell r="B330" t="str">
            <v>8.4 (4)a</v>
          </cell>
          <cell r="D330" t="str">
            <v>Rambu Jalan Tunggal dengan Perm. Pemantul High Intensity Grade</v>
          </cell>
          <cell r="G330" t="str">
            <v>Buah</v>
          </cell>
        </row>
        <row r="331">
          <cell r="B331" t="str">
            <v>8.4 (4)b</v>
          </cell>
          <cell r="D331" t="str">
            <v>Rambu Jalan Ganda dengan Perm. Pemantul High Intensity Grade</v>
          </cell>
          <cell r="G331" t="str">
            <v>Buah</v>
          </cell>
        </row>
        <row r="333">
          <cell r="B333" t="str">
            <v>8.4 (5)</v>
          </cell>
          <cell r="D333" t="str">
            <v>Patok Pengarah</v>
          </cell>
          <cell r="G333" t="str">
            <v>Buah</v>
          </cell>
        </row>
        <row r="334">
          <cell r="B334" t="str">
            <v>8.4 (6)</v>
          </cell>
          <cell r="D334" t="str">
            <v>Patok Kilometer</v>
          </cell>
          <cell r="G334" t="str">
            <v>Buah</v>
          </cell>
        </row>
        <row r="335">
          <cell r="B335" t="str">
            <v>8.4 (7)</v>
          </cell>
          <cell r="D335" t="str">
            <v>Rel Pengaman</v>
          </cell>
          <cell r="G335" t="str">
            <v>M1</v>
          </cell>
        </row>
        <row r="336">
          <cell r="B336" t="str">
            <v>8.4 (8)</v>
          </cell>
          <cell r="D336" t="str">
            <v>Paku Jalan (Road Studs)</v>
          </cell>
          <cell r="G336" t="str">
            <v>Buah</v>
          </cell>
        </row>
        <row r="337">
          <cell r="B337" t="str">
            <v>8.4 (9)</v>
          </cell>
          <cell r="D337" t="str">
            <v>Mata Kucing (Cat Eyes)</v>
          </cell>
          <cell r="G337" t="str">
            <v>Buah</v>
          </cell>
        </row>
        <row r="338">
          <cell r="B338" t="str">
            <v>8.4 (10)</v>
          </cell>
          <cell r="D338" t="str">
            <v>Kerb Pracetak</v>
          </cell>
          <cell r="G338" t="str">
            <v>M1</v>
          </cell>
        </row>
        <row r="339">
          <cell r="B339" t="str">
            <v>8.4 (11)</v>
          </cell>
          <cell r="D339" t="str">
            <v>Kerb Yang Digunakan Kembali</v>
          </cell>
          <cell r="G339" t="str">
            <v>M1</v>
          </cell>
        </row>
        <row r="340">
          <cell r="B340" t="str">
            <v>8.4 (12)</v>
          </cell>
          <cell r="D340" t="str">
            <v>Perkerasan Blok Beton pada Trotoar dan Median</v>
          </cell>
          <cell r="G340" t="str">
            <v>M2</v>
          </cell>
        </row>
        <row r="342">
          <cell r="B342" t="str">
            <v>8.5 (1)</v>
          </cell>
          <cell r="D342" t="str">
            <v>Pengembalian Kondisi Lantai Jembatan Beton</v>
          </cell>
          <cell r="G342" t="str">
            <v>M2</v>
          </cell>
        </row>
        <row r="343">
          <cell r="B343" t="str">
            <v>8.5 (2)</v>
          </cell>
          <cell r="D343" t="str">
            <v>Pengembalian Kondisi Lantai Jembatan Kayu</v>
          </cell>
          <cell r="G343" t="str">
            <v>M2</v>
          </cell>
        </row>
        <row r="344">
          <cell r="B344" t="str">
            <v>8.5 (3)</v>
          </cell>
          <cell r="D344" t="str">
            <v>Pengembalian Konddisi Pelapisan Permukaan Baja Struktur</v>
          </cell>
          <cell r="G344" t="str">
            <v>M2</v>
          </cell>
        </row>
        <row r="347">
          <cell r="D347" t="str">
            <v>Jumlah Harga Penawaran Devisi 8  (masuk pada Rekapitulasi Daftar Kuantitas dan Harga)</v>
          </cell>
          <cell r="J347">
            <v>17912580</v>
          </cell>
        </row>
        <row r="351">
          <cell r="D351" t="str">
            <v>DIVISI  9.  PEKERJAAN  HARIAN</v>
          </cell>
        </row>
        <row r="353">
          <cell r="B353" t="str">
            <v>9.1 (1)</v>
          </cell>
          <cell r="D353" t="str">
            <v>Mandor</v>
          </cell>
          <cell r="G353" t="str">
            <v>Jam</v>
          </cell>
        </row>
        <row r="355">
          <cell r="B355" t="str">
            <v>9.1 (2)</v>
          </cell>
          <cell r="D355" t="str">
            <v>Pekerja Biasa</v>
          </cell>
          <cell r="G355" t="str">
            <v>Jam</v>
          </cell>
        </row>
        <row r="357">
          <cell r="B357" t="str">
            <v>9.1 (3)</v>
          </cell>
          <cell r="D357" t="str">
            <v>Tukang Kayu, Tukang Batu, dsb</v>
          </cell>
          <cell r="G357" t="str">
            <v>Jam</v>
          </cell>
        </row>
        <row r="359">
          <cell r="B359" t="str">
            <v>9.1 (4)</v>
          </cell>
          <cell r="D359" t="str">
            <v>Dump Truck 3 - 4 M3</v>
          </cell>
          <cell r="G359" t="str">
            <v>Jam</v>
          </cell>
        </row>
        <row r="361">
          <cell r="B361" t="str">
            <v>9.1 (5)</v>
          </cell>
          <cell r="D361" t="str">
            <v>Truk dengan bak terbuka kapasitas 3 - 4 M3</v>
          </cell>
          <cell r="G361" t="str">
            <v>Jam</v>
          </cell>
        </row>
        <row r="363">
          <cell r="B363" t="str">
            <v>9.1 (6)</v>
          </cell>
          <cell r="D363" t="str">
            <v>Truk Tangki Air 3000 - 4500 Liter</v>
          </cell>
          <cell r="G363" t="str">
            <v>Jam</v>
          </cell>
        </row>
        <row r="365">
          <cell r="B365" t="str">
            <v>9.1 (7)</v>
          </cell>
          <cell r="D365" t="str">
            <v>Bulldozer 100 - 150 TK</v>
          </cell>
          <cell r="G365" t="str">
            <v>Jam</v>
          </cell>
        </row>
        <row r="367">
          <cell r="B367" t="str">
            <v>9.1 (8)</v>
          </cell>
          <cell r="D367" t="str">
            <v>Motor Grader min 100 TK</v>
          </cell>
          <cell r="G367" t="str">
            <v>Jam</v>
          </cell>
        </row>
        <row r="369">
          <cell r="B369" t="str">
            <v>9.1 (9)</v>
          </cell>
          <cell r="D369" t="str">
            <v>Loader Roda karet 1.0 - 1.6 M3</v>
          </cell>
          <cell r="G369" t="str">
            <v>Jam</v>
          </cell>
        </row>
        <row r="371">
          <cell r="B371" t="str">
            <v>9.1 (10)</v>
          </cell>
          <cell r="D371" t="str">
            <v>Loader Roda Berantai 75 - 100 PK</v>
          </cell>
          <cell r="G371" t="str">
            <v>Jam</v>
          </cell>
        </row>
        <row r="373">
          <cell r="B373" t="str">
            <v>9.1 (11)</v>
          </cell>
          <cell r="D373" t="str">
            <v>Alat Pengali (Excavator)  80 - 140 PK</v>
          </cell>
          <cell r="G373" t="str">
            <v>Jam</v>
          </cell>
        </row>
        <row r="375">
          <cell r="B375" t="str">
            <v>9.1 (12)</v>
          </cell>
          <cell r="D375" t="str">
            <v>Crane 10 - 15 Ton</v>
          </cell>
          <cell r="G375" t="str">
            <v>Jam</v>
          </cell>
        </row>
        <row r="377">
          <cell r="B377" t="str">
            <v>9.1 (13)</v>
          </cell>
          <cell r="D377" t="str">
            <v>Pengilas Roda Besi 6 - 9 Ton</v>
          </cell>
          <cell r="G377" t="str">
            <v>Jam</v>
          </cell>
        </row>
        <row r="379">
          <cell r="B379" t="str">
            <v>9.1 (14)</v>
          </cell>
          <cell r="D379" t="str">
            <v>Pengilas Bervibrasi 5 - 8 Ton</v>
          </cell>
          <cell r="G379" t="str">
            <v>Jam</v>
          </cell>
        </row>
        <row r="381">
          <cell r="B381" t="str">
            <v>9.1 (15)</v>
          </cell>
          <cell r="D381" t="str">
            <v>Pemadat Bervibrasi 1.5 - 3.0 PK</v>
          </cell>
          <cell r="G381" t="str">
            <v>Jam</v>
          </cell>
        </row>
        <row r="383">
          <cell r="B383" t="str">
            <v>9.1 (16)</v>
          </cell>
          <cell r="D383" t="str">
            <v>Pengilas Roda Karet 8 - 10 Ton</v>
          </cell>
          <cell r="G383" t="str">
            <v>Jam</v>
          </cell>
        </row>
        <row r="385">
          <cell r="B385" t="str">
            <v>9.1 (17)</v>
          </cell>
          <cell r="D385" t="str">
            <v>Compressor 4000 - 6500 Liter/menit</v>
          </cell>
          <cell r="G385" t="str">
            <v>Jam</v>
          </cell>
        </row>
        <row r="387">
          <cell r="B387" t="str">
            <v>9.1 (18)</v>
          </cell>
          <cell r="D387" t="str">
            <v>Beton Molen 0.3 - 0.6 M3</v>
          </cell>
          <cell r="G387" t="str">
            <v>Jam</v>
          </cell>
        </row>
        <row r="389">
          <cell r="B389" t="str">
            <v>9.1 (19)</v>
          </cell>
          <cell r="D389" t="str">
            <v>Pompa Air 70 - 100 MM</v>
          </cell>
          <cell r="G389" t="str">
            <v>Jam</v>
          </cell>
        </row>
        <row r="391">
          <cell r="B391">
            <v>9.19</v>
          </cell>
          <cell r="D391" t="str">
            <v>Jack Hammer</v>
          </cell>
          <cell r="G391" t="str">
            <v>Jam</v>
          </cell>
        </row>
        <row r="394">
          <cell r="D394" t="str">
            <v>Jumlah Harga Penawaran Devisi 9  (masuk pada Rekapitulasi Daftar Kuantitas dan Harga)</v>
          </cell>
          <cell r="J394">
            <v>0</v>
          </cell>
        </row>
        <row r="397">
          <cell r="D397" t="str">
            <v>DIVISI  10.  PEKERJAAN PEMELIHARAAN RUTIN</v>
          </cell>
        </row>
        <row r="399">
          <cell r="B399" t="str">
            <v>10.1(1)</v>
          </cell>
          <cell r="D399" t="str">
            <v>Pemeliharaan Rutin Perkerasan</v>
          </cell>
          <cell r="G399" t="str">
            <v>Ls</v>
          </cell>
        </row>
        <row r="401">
          <cell r="B401" t="str">
            <v>10.1(2)</v>
          </cell>
          <cell r="D401" t="str">
            <v>Pemeliharaan Rutin Bahu Jalan</v>
          </cell>
          <cell r="G401" t="str">
            <v>Ls</v>
          </cell>
        </row>
        <row r="403">
          <cell r="B403" t="str">
            <v>10.1(2)a</v>
          </cell>
          <cell r="D403" t="str">
            <v>Pembersihan Damija</v>
          </cell>
          <cell r="G403" t="str">
            <v>Ls</v>
          </cell>
        </row>
        <row r="405">
          <cell r="B405" t="str">
            <v>10.1(3)</v>
          </cell>
          <cell r="D405" t="str">
            <v>Pemeliharaan Rutin Selokan, Sal. Air, Gal. dan Timb. (Pemb. Damija)</v>
          </cell>
          <cell r="G405" t="str">
            <v>Ls</v>
          </cell>
          <cell r="H405">
            <v>1</v>
          </cell>
          <cell r="I405">
            <v>29520075</v>
          </cell>
          <cell r="J405">
            <v>29520075</v>
          </cell>
        </row>
        <row r="407">
          <cell r="B407" t="str">
            <v>10.1(4)</v>
          </cell>
          <cell r="D407" t="str">
            <v>Pemeliharaan Rutin Perlengkapan Jalan</v>
          </cell>
          <cell r="G407" t="str">
            <v>Ls</v>
          </cell>
        </row>
        <row r="409">
          <cell r="B409" t="str">
            <v>10.1(5)</v>
          </cell>
          <cell r="D409" t="str">
            <v>Pemeliharaan Rutin Jembatan</v>
          </cell>
          <cell r="G409" t="str">
            <v>Ls</v>
          </cell>
        </row>
        <row r="413">
          <cell r="D413" t="str">
            <v>Jumlah Harga Penawaran Devisi 10  (masuk pada Rekapitulasi Daftar Kuantitas dan Harga)</v>
          </cell>
          <cell r="J413">
            <v>29520075</v>
          </cell>
        </row>
      </sheetData>
      <sheetData sheetId="4">
        <row r="107">
          <cell r="N107">
            <v>156970000</v>
          </cell>
        </row>
        <row r="445">
          <cell r="N445">
            <v>56410</v>
          </cell>
        </row>
      </sheetData>
      <sheetData sheetId="5" refreshError="1"/>
      <sheetData sheetId="6">
        <row r="2">
          <cell r="C2" t="str">
            <v>LAMPIRAN</v>
          </cell>
        </row>
        <row r="3">
          <cell r="C3" t="str">
            <v>DASAR  ANALISA  HARGA  SATUAN  PERALATAN</v>
          </cell>
        </row>
        <row r="5">
          <cell r="C5" t="str">
            <v>NAMA PENAWAR</v>
          </cell>
          <cell r="E5" t="str">
            <v>:</v>
          </cell>
          <cell r="F5" t="str">
            <v>PT. GAYOTAMA LEOPROPITA</v>
          </cell>
        </row>
        <row r="6">
          <cell r="C6" t="str">
            <v>STATUS  ALAT</v>
          </cell>
          <cell r="E6" t="str">
            <v>:</v>
          </cell>
          <cell r="F6" t="str">
            <v>MILIK SENDIRI</v>
          </cell>
        </row>
        <row r="7">
          <cell r="C7" t="str">
            <v>SATUAN KERJA</v>
          </cell>
          <cell r="E7" t="str">
            <v>:</v>
          </cell>
          <cell r="F7" t="str">
            <v>SKS BRR-REHABILITASI DAN REKONSTRUKSI JALAN NASIONAL NAD</v>
          </cell>
        </row>
        <row r="8">
          <cell r="C8" t="str">
            <v>NAMA PAKET</v>
          </cell>
          <cell r="E8" t="str">
            <v>:</v>
          </cell>
          <cell r="F8" t="str">
            <v>REHABILITASI DAN REKONSTRUKSI JALAN TEKENGON-GENTING GERBANG-PAMEU (Transisi)</v>
          </cell>
        </row>
        <row r="9">
          <cell r="C9" t="str">
            <v>No. PAKET KONTRAK</v>
          </cell>
          <cell r="E9" t="str">
            <v>:</v>
          </cell>
          <cell r="F9" t="str">
            <v xml:space="preserve"> BRR - JN 09</v>
          </cell>
        </row>
        <row r="10">
          <cell r="C10" t="str">
            <v>PROVINSI/KAB.</v>
          </cell>
          <cell r="E10" t="str">
            <v>:</v>
          </cell>
          <cell r="F10" t="str">
            <v>NAD / ACEH TENGAH</v>
          </cell>
        </row>
        <row r="12">
          <cell r="C12" t="str">
            <v>No.</v>
          </cell>
          <cell r="D12" t="str">
            <v>URAIAN</v>
          </cell>
          <cell r="I12" t="str">
            <v>KODE</v>
          </cell>
          <cell r="J12" t="str">
            <v>KOEF.</v>
          </cell>
          <cell r="K12" t="str">
            <v>SATUAN</v>
          </cell>
          <cell r="L12" t="str">
            <v>KET.</v>
          </cell>
        </row>
        <row r="14">
          <cell r="C14" t="str">
            <v>A.</v>
          </cell>
          <cell r="D14" t="str">
            <v xml:space="preserve"> URAIAN PERALATAN</v>
          </cell>
        </row>
        <row r="15">
          <cell r="C15">
            <v>1</v>
          </cell>
          <cell r="D15" t="str">
            <v xml:space="preserve"> Jenis Peralatan</v>
          </cell>
          <cell r="I15" t="str">
            <v>ASPHALT MIXING PLANT (AMP)</v>
          </cell>
          <cell r="L15" t="str">
            <v>E 01</v>
          </cell>
        </row>
        <row r="16">
          <cell r="C16">
            <v>2</v>
          </cell>
          <cell r="D16" t="str">
            <v xml:space="preserve"> Tenaga</v>
          </cell>
          <cell r="I16" t="str">
            <v>Pw</v>
          </cell>
          <cell r="J16">
            <v>150</v>
          </cell>
          <cell r="K16" t="str">
            <v>HP</v>
          </cell>
        </row>
        <row r="17">
          <cell r="C17">
            <v>3</v>
          </cell>
          <cell r="D17" t="str">
            <v xml:space="preserve"> Kapasitas</v>
          </cell>
          <cell r="I17" t="str">
            <v>Cp</v>
          </cell>
          <cell r="J17">
            <v>50</v>
          </cell>
          <cell r="K17" t="str">
            <v>Ton/Jam</v>
          </cell>
        </row>
        <row r="18">
          <cell r="C18">
            <v>4</v>
          </cell>
          <cell r="D18" t="str">
            <v xml:space="preserve"> Alat Baru</v>
          </cell>
          <cell r="E18" t="str">
            <v>:</v>
          </cell>
          <cell r="F18" t="str">
            <v>a.</v>
          </cell>
          <cell r="G18" t="str">
            <v>Umur Ekonomis</v>
          </cell>
          <cell r="I18" t="str">
            <v>A</v>
          </cell>
          <cell r="J18">
            <v>10</v>
          </cell>
          <cell r="K18" t="str">
            <v>Tahun</v>
          </cell>
        </row>
        <row r="19">
          <cell r="F19" t="str">
            <v>b.</v>
          </cell>
          <cell r="G19" t="str">
            <v>Jam Kerja Dalam  1 Tahun</v>
          </cell>
          <cell r="I19" t="str">
            <v>W</v>
          </cell>
          <cell r="J19">
            <v>1500</v>
          </cell>
          <cell r="K19" t="str">
            <v>Jam</v>
          </cell>
        </row>
        <row r="20">
          <cell r="F20" t="str">
            <v>c.</v>
          </cell>
          <cell r="G20" t="str">
            <v>Harga Alat</v>
          </cell>
          <cell r="I20" t="str">
            <v>B</v>
          </cell>
          <cell r="J20">
            <v>1917000000</v>
          </cell>
          <cell r="K20" t="str">
            <v>Rupiah</v>
          </cell>
        </row>
        <row r="21">
          <cell r="C21">
            <v>5</v>
          </cell>
          <cell r="D21" t="str">
            <v xml:space="preserve"> Alat Yang Dipakai</v>
          </cell>
          <cell r="E21" t="str">
            <v>:</v>
          </cell>
          <cell r="F21" t="str">
            <v>a.</v>
          </cell>
          <cell r="G21" t="str">
            <v>Umur Ekonomis</v>
          </cell>
          <cell r="I21" t="str">
            <v>A'</v>
          </cell>
          <cell r="J21">
            <v>10</v>
          </cell>
          <cell r="K21" t="str">
            <v>Tahun</v>
          </cell>
          <cell r="L21" t="str">
            <v>Alat Baru</v>
          </cell>
        </row>
        <row r="22">
          <cell r="F22" t="str">
            <v>b.</v>
          </cell>
          <cell r="G22" t="str">
            <v>Jam Kerja Dalam  1 Tahun</v>
          </cell>
          <cell r="I22" t="str">
            <v>W'</v>
          </cell>
          <cell r="J22">
            <v>1500</v>
          </cell>
          <cell r="K22" t="str">
            <v>Jam</v>
          </cell>
          <cell r="L22" t="str">
            <v>Alat Baru</v>
          </cell>
        </row>
        <row r="23">
          <cell r="F23" t="str">
            <v>c.</v>
          </cell>
          <cell r="G23" t="str">
            <v>Harga Alat  ( * )</v>
          </cell>
          <cell r="I23" t="str">
            <v>B'</v>
          </cell>
          <cell r="J23">
            <v>1917000000</v>
          </cell>
          <cell r="K23" t="str">
            <v>Rupiah</v>
          </cell>
          <cell r="L23" t="str">
            <v>Alat Baru</v>
          </cell>
        </row>
        <row r="25">
          <cell r="C25" t="str">
            <v>B.</v>
          </cell>
          <cell r="D25" t="str">
            <v xml:space="preserve"> BIAYA PASTI PER JAM KERJA</v>
          </cell>
        </row>
        <row r="26">
          <cell r="C26">
            <v>1</v>
          </cell>
          <cell r="D26" t="str">
            <v xml:space="preserve"> Nilai Sisa Alat</v>
          </cell>
          <cell r="E26" t="str">
            <v>=  10 % x B</v>
          </cell>
          <cell r="I26" t="str">
            <v>C</v>
          </cell>
          <cell r="J26">
            <v>191700000</v>
          </cell>
          <cell r="K26" t="str">
            <v>Rupiah</v>
          </cell>
        </row>
        <row r="27">
          <cell r="C27">
            <v>2</v>
          </cell>
          <cell r="D27" t="str">
            <v xml:space="preserve"> Faktor Angsuran Modal</v>
          </cell>
          <cell r="F27" t="str">
            <v>=</v>
          </cell>
          <cell r="G27" t="str">
            <v>i x ( 1 + i ) ^ A'</v>
          </cell>
          <cell r="I27" t="str">
            <v>D</v>
          </cell>
          <cell r="J27">
            <v>0.23852275688285915</v>
          </cell>
          <cell r="K27" t="str">
            <v>-</v>
          </cell>
        </row>
        <row r="28">
          <cell r="G28" t="str">
            <v>( 1 + i ) ^ A' - 1</v>
          </cell>
        </row>
        <row r="29">
          <cell r="C29">
            <v>3</v>
          </cell>
          <cell r="D29" t="str">
            <v xml:space="preserve"> Biaya Pasti per Jam  :</v>
          </cell>
        </row>
        <row r="30">
          <cell r="D30" t="str">
            <v xml:space="preserve"> a. Biaya Pengembalian Modal</v>
          </cell>
          <cell r="F30" t="str">
            <v>=</v>
          </cell>
          <cell r="G30" t="str">
            <v>( B' - C ) x D</v>
          </cell>
          <cell r="I30" t="str">
            <v>E</v>
          </cell>
          <cell r="J30">
            <v>274348.87496666459</v>
          </cell>
          <cell r="K30" t="str">
            <v>Rupiah</v>
          </cell>
        </row>
        <row r="31">
          <cell r="G31" t="str">
            <v>W'</v>
          </cell>
        </row>
        <row r="32">
          <cell r="D32" t="str">
            <v xml:space="preserve"> b. Asuransi, dll</v>
          </cell>
          <cell r="E32" t="str">
            <v>=</v>
          </cell>
          <cell r="G32" t="str">
            <v>0,002 x B'</v>
          </cell>
          <cell r="I32" t="str">
            <v>F</v>
          </cell>
          <cell r="J32">
            <v>2556</v>
          </cell>
          <cell r="K32" t="str">
            <v>Rupiah</v>
          </cell>
        </row>
        <row r="33">
          <cell r="G33" t="str">
            <v>W'</v>
          </cell>
        </row>
        <row r="34">
          <cell r="D34" t="str">
            <v xml:space="preserve"> Biaya Pasti per Jam</v>
          </cell>
          <cell r="E34" t="str">
            <v>=</v>
          </cell>
          <cell r="G34" t="str">
            <v>( E + F )</v>
          </cell>
          <cell r="I34" t="str">
            <v>G</v>
          </cell>
          <cell r="J34">
            <v>276904.87496666459</v>
          </cell>
          <cell r="K34" t="str">
            <v>Rupiah</v>
          </cell>
        </row>
        <row r="36">
          <cell r="C36" t="str">
            <v>C.</v>
          </cell>
          <cell r="D36" t="str">
            <v xml:space="preserve"> BIAYA OPERASI PER JAM KERJA</v>
          </cell>
        </row>
        <row r="37">
          <cell r="C37">
            <v>1</v>
          </cell>
          <cell r="D37" t="str">
            <v xml:space="preserve"> Bahan Bakar </v>
          </cell>
          <cell r="E37" t="str">
            <v>=</v>
          </cell>
          <cell r="F37" t="str">
            <v>(0,125 - 0,175 Ltr/HP/Jam) x Pw x Ms</v>
          </cell>
          <cell r="I37" t="str">
            <v>H1</v>
          </cell>
          <cell r="J37">
            <v>80625</v>
          </cell>
          <cell r="K37" t="str">
            <v>Rupiah</v>
          </cell>
        </row>
        <row r="38">
          <cell r="D38" t="str">
            <v xml:space="preserve"> Bahan Bakar Pemanasan Material  = 12 x 0,7 Cp x Ms1</v>
          </cell>
          <cell r="I38" t="str">
            <v>H2</v>
          </cell>
          <cell r="J38">
            <v>951299.99999999988</v>
          </cell>
          <cell r="K38" t="str">
            <v>Rupiah</v>
          </cell>
          <cell r="L38" t="str">
            <v>Khusus AMP</v>
          </cell>
        </row>
        <row r="39">
          <cell r="C39">
            <v>2</v>
          </cell>
          <cell r="D39" t="str">
            <v xml:space="preserve"> Pelumas</v>
          </cell>
          <cell r="E39" t="str">
            <v>=</v>
          </cell>
          <cell r="F39" t="str">
            <v>(0,01 - 0,02 Ltr/HP/Jam) x Pw x Mp</v>
          </cell>
          <cell r="I39" t="str">
            <v>I</v>
          </cell>
          <cell r="J39">
            <v>18000</v>
          </cell>
          <cell r="K39" t="str">
            <v>Rupiah</v>
          </cell>
        </row>
        <row r="40">
          <cell r="C40">
            <v>3</v>
          </cell>
          <cell r="D40" t="str">
            <v xml:space="preserve"> Perawatan dan Perbaikan</v>
          </cell>
          <cell r="F40" t="str">
            <v>=</v>
          </cell>
          <cell r="G40" t="str">
            <v xml:space="preserve"> ( 12,5 % - 17,5 % ) x B'</v>
          </cell>
          <cell r="I40" t="str">
            <v>K</v>
          </cell>
          <cell r="J40">
            <v>159750</v>
          </cell>
          <cell r="K40" t="str">
            <v>Rupiah</v>
          </cell>
        </row>
        <row r="41">
          <cell r="G41" t="str">
            <v xml:space="preserve"> W'</v>
          </cell>
        </row>
        <row r="42">
          <cell r="C42">
            <v>4</v>
          </cell>
          <cell r="D42" t="str">
            <v xml:space="preserve"> Operator</v>
          </cell>
          <cell r="E42" t="str">
            <v>=</v>
          </cell>
          <cell r="F42" t="str">
            <v>( 1 Orang / Jam ) x U1</v>
          </cell>
          <cell r="I42" t="str">
            <v>L</v>
          </cell>
          <cell r="J42">
            <v>8957.1428571428569</v>
          </cell>
          <cell r="K42" t="str">
            <v>Rupiah</v>
          </cell>
        </row>
        <row r="43">
          <cell r="C43">
            <v>5</v>
          </cell>
          <cell r="D43" t="str">
            <v xml:space="preserve"> Pembantu Operator</v>
          </cell>
          <cell r="E43" t="str">
            <v>=</v>
          </cell>
          <cell r="F43" t="str">
            <v>( 3 Orang / Jam ) x U2</v>
          </cell>
          <cell r="I43" t="str">
            <v>M</v>
          </cell>
          <cell r="J43">
            <v>19392.857142857145</v>
          </cell>
          <cell r="K43" t="str">
            <v>Rupiah</v>
          </cell>
        </row>
        <row r="44">
          <cell r="D44" t="str">
            <v xml:space="preserve"> Biaya Operasi Per Jam </v>
          </cell>
          <cell r="F44" t="str">
            <v>=</v>
          </cell>
          <cell r="G44" t="str">
            <v xml:space="preserve"> ( H + I + K + L + M )</v>
          </cell>
          <cell r="I44" t="str">
            <v>P</v>
          </cell>
          <cell r="J44">
            <v>1238025</v>
          </cell>
          <cell r="K44" t="str">
            <v>Rupiah</v>
          </cell>
        </row>
        <row r="46">
          <cell r="C46" t="str">
            <v>D.</v>
          </cell>
          <cell r="D46" t="str">
            <v xml:space="preserve"> TOTAL BIAYA SEWA ALAT / JAM   =   ( G + P )</v>
          </cell>
          <cell r="I46" t="str">
            <v>T</v>
          </cell>
          <cell r="J46">
            <v>1514929.8749666647</v>
          </cell>
          <cell r="K46" t="str">
            <v>Rupiah</v>
          </cell>
        </row>
        <row r="48">
          <cell r="C48" t="str">
            <v>E.</v>
          </cell>
          <cell r="D48" t="str">
            <v xml:space="preserve"> LAIN - LAIN</v>
          </cell>
        </row>
        <row r="49">
          <cell r="C49">
            <v>1</v>
          </cell>
          <cell r="D49" t="str">
            <v xml:space="preserve"> Tingkat Suku Bunga</v>
          </cell>
          <cell r="I49" t="str">
            <v>i</v>
          </cell>
          <cell r="J49">
            <v>20</v>
          </cell>
          <cell r="K49" t="str">
            <v>% / Tahun</v>
          </cell>
        </row>
        <row r="50">
          <cell r="C50">
            <v>2</v>
          </cell>
          <cell r="D50" t="str">
            <v xml:space="preserve"> Upah Operator / Sopir</v>
          </cell>
          <cell r="I50" t="str">
            <v>U1</v>
          </cell>
          <cell r="J50">
            <v>8957.1428571428569</v>
          </cell>
          <cell r="K50" t="str">
            <v>Rp. / Jam</v>
          </cell>
        </row>
        <row r="51">
          <cell r="C51">
            <v>3</v>
          </cell>
          <cell r="D51" t="str">
            <v xml:space="preserve"> Upah Pembantu Operator / Pembantu Sopir</v>
          </cell>
          <cell r="I51" t="str">
            <v>U2</v>
          </cell>
          <cell r="J51">
            <v>6464.2857142857147</v>
          </cell>
          <cell r="K51" t="str">
            <v>Rp. / Jam</v>
          </cell>
        </row>
        <row r="52">
          <cell r="C52">
            <v>4</v>
          </cell>
          <cell r="D52" t="str">
            <v xml:space="preserve"> Bahan Bakar Bensin</v>
          </cell>
          <cell r="I52" t="str">
            <v>Mb</v>
          </cell>
          <cell r="J52">
            <v>4500</v>
          </cell>
          <cell r="K52" t="str">
            <v>Liter</v>
          </cell>
        </row>
        <row r="53">
          <cell r="C53">
            <v>5</v>
          </cell>
          <cell r="D53" t="str">
            <v xml:space="preserve"> Bahan Bakar Solar</v>
          </cell>
          <cell r="I53" t="str">
            <v>Ms</v>
          </cell>
          <cell r="J53">
            <v>4300</v>
          </cell>
          <cell r="K53" t="str">
            <v>Liter</v>
          </cell>
        </row>
        <row r="54">
          <cell r="D54" t="str">
            <v xml:space="preserve"> Bahan Bakar Minyak Karosin</v>
          </cell>
          <cell r="I54" t="str">
            <v>Ms1</v>
          </cell>
          <cell r="J54">
            <v>2265</v>
          </cell>
          <cell r="K54" t="str">
            <v>Liter</v>
          </cell>
        </row>
        <row r="55">
          <cell r="C55">
            <v>6</v>
          </cell>
          <cell r="D55" t="str">
            <v xml:space="preserve"> Minyak Pelumas</v>
          </cell>
          <cell r="I55" t="str">
            <v>Mp</v>
          </cell>
          <cell r="J55">
            <v>12000</v>
          </cell>
          <cell r="K55" t="str">
            <v>Liter</v>
          </cell>
        </row>
        <row r="56">
          <cell r="C56">
            <v>7</v>
          </cell>
          <cell r="D56" t="str">
            <v xml:space="preserve"> PPN diperhitungkan pada lembar Rekapitulasi Biaya Pekerjaan</v>
          </cell>
        </row>
        <row r="60">
          <cell r="C60" t="str">
            <v>JENIS ALAT</v>
          </cell>
          <cell r="E60" t="str">
            <v>:</v>
          </cell>
          <cell r="F60" t="str">
            <v>ASPHALT FINISHER</v>
          </cell>
        </row>
        <row r="61">
          <cell r="C61" t="str">
            <v>PERUSAHAAN</v>
          </cell>
          <cell r="E61" t="str">
            <v>:</v>
          </cell>
          <cell r="F61" t="str">
            <v>NAD / ACEH TENGAH</v>
          </cell>
        </row>
        <row r="63">
          <cell r="C63" t="str">
            <v>No.</v>
          </cell>
          <cell r="D63" t="str">
            <v>URAIAN</v>
          </cell>
          <cell r="I63" t="str">
            <v>KODE</v>
          </cell>
          <cell r="J63" t="str">
            <v>KOEF.</v>
          </cell>
          <cell r="K63" t="str">
            <v>SATUAN</v>
          </cell>
          <cell r="L63" t="str">
            <v>KET.</v>
          </cell>
        </row>
        <row r="65">
          <cell r="C65" t="str">
            <v>A.</v>
          </cell>
          <cell r="D65" t="str">
            <v xml:space="preserve"> URAIAN PERALATAN</v>
          </cell>
        </row>
        <row r="66">
          <cell r="C66">
            <v>1</v>
          </cell>
          <cell r="D66" t="str">
            <v xml:space="preserve"> Jenis Peralatan</v>
          </cell>
          <cell r="I66" t="str">
            <v>ASPHALT FINISHER</v>
          </cell>
          <cell r="L66" t="str">
            <v>E 02</v>
          </cell>
        </row>
        <row r="67">
          <cell r="C67">
            <v>2</v>
          </cell>
          <cell r="D67" t="str">
            <v xml:space="preserve"> Tenaga</v>
          </cell>
          <cell r="I67" t="str">
            <v>Pw</v>
          </cell>
          <cell r="J67">
            <v>47</v>
          </cell>
          <cell r="K67" t="str">
            <v>HP</v>
          </cell>
        </row>
        <row r="68">
          <cell r="C68">
            <v>3</v>
          </cell>
          <cell r="D68" t="str">
            <v xml:space="preserve"> Kapasitas</v>
          </cell>
          <cell r="I68" t="str">
            <v>Cp</v>
          </cell>
          <cell r="J68">
            <v>6</v>
          </cell>
          <cell r="K68" t="str">
            <v>Ton</v>
          </cell>
        </row>
        <row r="69">
          <cell r="C69">
            <v>4</v>
          </cell>
          <cell r="D69" t="str">
            <v xml:space="preserve"> Alat Baru</v>
          </cell>
          <cell r="E69" t="str">
            <v>:</v>
          </cell>
          <cell r="F69" t="str">
            <v>a.</v>
          </cell>
          <cell r="G69" t="str">
            <v>Umur Ekonomis</v>
          </cell>
          <cell r="I69" t="str">
            <v>A</v>
          </cell>
          <cell r="J69">
            <v>6</v>
          </cell>
          <cell r="K69" t="str">
            <v>Tahun</v>
          </cell>
        </row>
        <row r="70">
          <cell r="F70" t="str">
            <v>b.</v>
          </cell>
          <cell r="G70" t="str">
            <v>Jam Kerja Dalam  1 Tahun</v>
          </cell>
          <cell r="I70" t="str">
            <v>W</v>
          </cell>
          <cell r="J70">
            <v>2000</v>
          </cell>
          <cell r="K70" t="str">
            <v>Jam</v>
          </cell>
        </row>
        <row r="71">
          <cell r="F71" t="str">
            <v>c.</v>
          </cell>
          <cell r="G71" t="str">
            <v>Harga Alat</v>
          </cell>
          <cell r="I71" t="str">
            <v>B</v>
          </cell>
          <cell r="J71">
            <v>450000000</v>
          </cell>
          <cell r="K71" t="str">
            <v>Rupiah</v>
          </cell>
        </row>
        <row r="72">
          <cell r="C72">
            <v>5</v>
          </cell>
          <cell r="D72" t="str">
            <v xml:space="preserve"> Alat Yang Dipakai</v>
          </cell>
          <cell r="E72" t="str">
            <v>:</v>
          </cell>
          <cell r="F72" t="str">
            <v>a.</v>
          </cell>
          <cell r="G72" t="str">
            <v>Umur Ekonomis</v>
          </cell>
          <cell r="I72" t="str">
            <v>A'</v>
          </cell>
          <cell r="J72">
            <v>6</v>
          </cell>
          <cell r="K72" t="str">
            <v>Tahun</v>
          </cell>
          <cell r="L72" t="str">
            <v>Alat Baru</v>
          </cell>
        </row>
        <row r="73">
          <cell r="F73" t="str">
            <v>b.</v>
          </cell>
          <cell r="G73" t="str">
            <v>Jam Kerja Dalam  1 Tahun</v>
          </cell>
          <cell r="I73" t="str">
            <v>W'</v>
          </cell>
          <cell r="J73">
            <v>2000</v>
          </cell>
          <cell r="K73" t="str">
            <v>Jam</v>
          </cell>
          <cell r="L73" t="str">
            <v>Alat Baru</v>
          </cell>
        </row>
        <row r="74">
          <cell r="F74" t="str">
            <v>c.</v>
          </cell>
          <cell r="G74" t="str">
            <v>Harga Alat  ( * )</v>
          </cell>
          <cell r="I74" t="str">
            <v>B'</v>
          </cell>
          <cell r="J74">
            <v>450000000</v>
          </cell>
          <cell r="K74" t="str">
            <v>Rupiah</v>
          </cell>
          <cell r="L74" t="str">
            <v>Alat Baru</v>
          </cell>
        </row>
        <row r="76">
          <cell r="C76" t="str">
            <v>B.</v>
          </cell>
          <cell r="D76" t="str">
            <v xml:space="preserve"> BIAYA PASTI PER JAM KERJA</v>
          </cell>
        </row>
        <row r="77">
          <cell r="C77">
            <v>1</v>
          </cell>
          <cell r="D77" t="str">
            <v xml:space="preserve"> Nilai Sisa Alat</v>
          </cell>
          <cell r="E77" t="str">
            <v>=  10 % x B</v>
          </cell>
          <cell r="I77" t="str">
            <v>C</v>
          </cell>
          <cell r="J77">
            <v>45000000</v>
          </cell>
          <cell r="K77" t="str">
            <v>Rupiah</v>
          </cell>
        </row>
        <row r="78">
          <cell r="C78">
            <v>2</v>
          </cell>
          <cell r="D78" t="str">
            <v xml:space="preserve"> Faktor Angsuran Modal</v>
          </cell>
          <cell r="F78" t="str">
            <v>=</v>
          </cell>
          <cell r="G78" t="str">
            <v>i x ( 1 + i ) ^ A'</v>
          </cell>
          <cell r="I78" t="str">
            <v>D</v>
          </cell>
          <cell r="J78">
            <v>0.30070574586703619</v>
          </cell>
          <cell r="K78" t="str">
            <v>-</v>
          </cell>
        </row>
        <row r="79">
          <cell r="G79" t="str">
            <v>( 1 + i ) ^ A' - 1</v>
          </cell>
        </row>
        <row r="80">
          <cell r="C80">
            <v>3</v>
          </cell>
          <cell r="D80" t="str">
            <v xml:space="preserve"> Biaya Pasti per Jam  :</v>
          </cell>
        </row>
        <row r="81">
          <cell r="D81" t="str">
            <v xml:space="preserve"> a. Biaya Pengembalian Modal</v>
          </cell>
          <cell r="F81" t="str">
            <v>=</v>
          </cell>
          <cell r="G81" t="str">
            <v>( B' - C ) x D</v>
          </cell>
          <cell r="I81" t="str">
            <v>E</v>
          </cell>
          <cell r="J81">
            <v>60892.913538074827</v>
          </cell>
          <cell r="K81" t="str">
            <v>Rupiah</v>
          </cell>
        </row>
        <row r="82">
          <cell r="G82" t="str">
            <v>W'</v>
          </cell>
        </row>
        <row r="83">
          <cell r="D83" t="str">
            <v xml:space="preserve"> b. Asuransi, dll</v>
          </cell>
          <cell r="E83" t="str">
            <v>=</v>
          </cell>
          <cell r="G83" t="str">
            <v>0,002 x B'</v>
          </cell>
          <cell r="I83" t="str">
            <v>F</v>
          </cell>
          <cell r="J83">
            <v>450</v>
          </cell>
          <cell r="K83" t="str">
            <v>Rupiah</v>
          </cell>
        </row>
        <row r="84">
          <cell r="G84" t="str">
            <v>W'</v>
          </cell>
        </row>
        <row r="85">
          <cell r="D85" t="str">
            <v xml:space="preserve"> Biaya Pasti per Jam</v>
          </cell>
          <cell r="E85" t="str">
            <v>=</v>
          </cell>
          <cell r="G85" t="str">
            <v>( E + F )</v>
          </cell>
          <cell r="I85" t="str">
            <v>G</v>
          </cell>
          <cell r="J85">
            <v>61342.913538074827</v>
          </cell>
          <cell r="K85" t="str">
            <v>Rupiah</v>
          </cell>
        </row>
        <row r="87">
          <cell r="C87" t="str">
            <v>C.</v>
          </cell>
          <cell r="D87" t="str">
            <v xml:space="preserve"> BIAYA OPERASI PER JAM KERJA</v>
          </cell>
        </row>
        <row r="88">
          <cell r="C88">
            <v>1</v>
          </cell>
          <cell r="D88" t="str">
            <v xml:space="preserve"> Bahan Bakar </v>
          </cell>
          <cell r="E88" t="str">
            <v>=</v>
          </cell>
          <cell r="F88" t="str">
            <v>(0,125 - 0,175 Ltr/HP/Jam) x Pw x Ms</v>
          </cell>
          <cell r="I88" t="str">
            <v>H</v>
          </cell>
          <cell r="J88">
            <v>25262.5</v>
          </cell>
          <cell r="K88" t="str">
            <v>Rupiah</v>
          </cell>
        </row>
        <row r="89">
          <cell r="C89">
            <v>2</v>
          </cell>
          <cell r="D89" t="str">
            <v xml:space="preserve"> Pelumas</v>
          </cell>
          <cell r="E89" t="str">
            <v>=</v>
          </cell>
          <cell r="F89" t="str">
            <v>(0,01 - 0,02 Ltr/HP/Jam) x Pw x Mp</v>
          </cell>
          <cell r="I89" t="str">
            <v>I</v>
          </cell>
          <cell r="J89">
            <v>14100</v>
          </cell>
          <cell r="K89" t="str">
            <v>Rupiah</v>
          </cell>
        </row>
        <row r="90">
          <cell r="C90">
            <v>3</v>
          </cell>
          <cell r="D90" t="str">
            <v xml:space="preserve"> Perawatan dan Perbaikan</v>
          </cell>
          <cell r="F90" t="str">
            <v>=</v>
          </cell>
          <cell r="G90" t="str">
            <v xml:space="preserve"> ( 12,5 % - 17,5 % ) x B'</v>
          </cell>
          <cell r="I90" t="str">
            <v>K</v>
          </cell>
          <cell r="J90">
            <v>28125</v>
          </cell>
          <cell r="K90" t="str">
            <v>Rupiah</v>
          </cell>
        </row>
        <row r="91">
          <cell r="G91" t="str">
            <v xml:space="preserve"> W'</v>
          </cell>
        </row>
        <row r="92">
          <cell r="C92">
            <v>4</v>
          </cell>
          <cell r="D92" t="str">
            <v xml:space="preserve"> Operator</v>
          </cell>
          <cell r="E92" t="str">
            <v>=</v>
          </cell>
          <cell r="F92" t="str">
            <v>( 1 Orang / Jam ) x U1</v>
          </cell>
          <cell r="I92" t="str">
            <v>L</v>
          </cell>
          <cell r="J92">
            <v>10750</v>
          </cell>
          <cell r="K92" t="str">
            <v>Rupiah</v>
          </cell>
        </row>
        <row r="93">
          <cell r="C93">
            <v>5</v>
          </cell>
          <cell r="D93" t="str">
            <v xml:space="preserve"> Pembantu Operator</v>
          </cell>
          <cell r="E93" t="str">
            <v>=</v>
          </cell>
          <cell r="F93" t="str">
            <v>( 1 Orang / Jam ) x U2</v>
          </cell>
          <cell r="I93" t="str">
            <v>M</v>
          </cell>
          <cell r="J93">
            <v>4500</v>
          </cell>
          <cell r="K93" t="str">
            <v>Rupiah</v>
          </cell>
        </row>
        <row r="94">
          <cell r="D94" t="str">
            <v xml:space="preserve"> Biaya Operasi Per Jam </v>
          </cell>
          <cell r="F94" t="str">
            <v>=</v>
          </cell>
          <cell r="G94" t="str">
            <v xml:space="preserve"> ( H + I + K + L + M )</v>
          </cell>
          <cell r="I94" t="str">
            <v>P</v>
          </cell>
          <cell r="J94">
            <v>82737.5</v>
          </cell>
          <cell r="K94" t="str">
            <v>Rupiah</v>
          </cell>
        </row>
        <row r="96">
          <cell r="C96" t="str">
            <v>D.</v>
          </cell>
          <cell r="D96" t="str">
            <v xml:space="preserve"> TOTAL BIAYA SEWA ALAT / JAM   =   ( G + P )</v>
          </cell>
          <cell r="I96" t="str">
            <v>S</v>
          </cell>
          <cell r="J96">
            <v>144080.41353807482</v>
          </cell>
          <cell r="K96" t="str">
            <v>Rupiah</v>
          </cell>
        </row>
        <row r="98">
          <cell r="C98" t="str">
            <v>E.</v>
          </cell>
          <cell r="D98" t="str">
            <v xml:space="preserve"> LAIN - LAIN</v>
          </cell>
        </row>
        <row r="99">
          <cell r="C99">
            <v>1</v>
          </cell>
          <cell r="D99" t="str">
            <v xml:space="preserve"> Tingkat Suku Bunga</v>
          </cell>
          <cell r="I99" t="str">
            <v>i</v>
          </cell>
          <cell r="J99">
            <v>20</v>
          </cell>
          <cell r="K99" t="str">
            <v>% / Tahun</v>
          </cell>
        </row>
        <row r="100">
          <cell r="C100">
            <v>2</v>
          </cell>
          <cell r="D100" t="str">
            <v xml:space="preserve"> Upah Operator </v>
          </cell>
          <cell r="I100" t="str">
            <v>U1</v>
          </cell>
          <cell r="J100">
            <v>10750</v>
          </cell>
          <cell r="K100" t="str">
            <v>Rp. / Jam</v>
          </cell>
        </row>
        <row r="101">
          <cell r="C101">
            <v>3</v>
          </cell>
          <cell r="D101" t="str">
            <v xml:space="preserve"> Upah Pembantu Operator / Pembantu Sopir</v>
          </cell>
          <cell r="I101" t="str">
            <v>U2</v>
          </cell>
          <cell r="J101">
            <v>4500</v>
          </cell>
          <cell r="K101" t="str">
            <v>Rp. / Jam</v>
          </cell>
        </row>
        <row r="102">
          <cell r="C102">
            <v>4</v>
          </cell>
          <cell r="D102" t="str">
            <v xml:space="preserve"> Bahan Bakar Bensin</v>
          </cell>
          <cell r="I102" t="str">
            <v>Mb</v>
          </cell>
          <cell r="J102">
            <v>4500</v>
          </cell>
          <cell r="K102" t="str">
            <v>Liter</v>
          </cell>
        </row>
        <row r="103">
          <cell r="C103">
            <v>5</v>
          </cell>
          <cell r="D103" t="str">
            <v xml:space="preserve"> Bahan Bakar Solar</v>
          </cell>
          <cell r="I103" t="str">
            <v>Ms</v>
          </cell>
          <cell r="J103">
            <v>4300</v>
          </cell>
          <cell r="K103" t="str">
            <v>Liter</v>
          </cell>
        </row>
        <row r="104">
          <cell r="C104">
            <v>6</v>
          </cell>
          <cell r="D104" t="str">
            <v xml:space="preserve"> Minyak Pelumas</v>
          </cell>
          <cell r="I104" t="str">
            <v>Mp</v>
          </cell>
          <cell r="J104">
            <v>30000</v>
          </cell>
          <cell r="K104" t="str">
            <v>Liter</v>
          </cell>
        </row>
        <row r="105">
          <cell r="C105">
            <v>7</v>
          </cell>
          <cell r="D105" t="str">
            <v xml:space="preserve"> PPN diperhitungkan pada lembar Rekapitulasi Biaya Pekerjaan</v>
          </cell>
        </row>
        <row r="109">
          <cell r="C109" t="str">
            <v>JENIS ALAT</v>
          </cell>
          <cell r="E109" t="str">
            <v>:</v>
          </cell>
          <cell r="F109" t="str">
            <v>ASPHALT SPRAYER</v>
          </cell>
        </row>
        <row r="110">
          <cell r="C110" t="str">
            <v>PERUSAHAAN</v>
          </cell>
          <cell r="E110" t="str">
            <v>:</v>
          </cell>
          <cell r="F110" t="str">
            <v>NAD / ACEH TENGAH</v>
          </cell>
        </row>
        <row r="112">
          <cell r="C112" t="str">
            <v>No.</v>
          </cell>
          <cell r="D112" t="str">
            <v>URAIAN</v>
          </cell>
          <cell r="I112" t="str">
            <v>KODE</v>
          </cell>
          <cell r="J112" t="str">
            <v>KOEF.</v>
          </cell>
          <cell r="K112" t="str">
            <v>SATUAN</v>
          </cell>
          <cell r="L112" t="str">
            <v>KET.</v>
          </cell>
        </row>
        <row r="114">
          <cell r="C114" t="str">
            <v>A.</v>
          </cell>
          <cell r="D114" t="str">
            <v xml:space="preserve"> URAIAN PERALATAN</v>
          </cell>
        </row>
        <row r="115">
          <cell r="C115">
            <v>1</v>
          </cell>
          <cell r="D115" t="str">
            <v xml:space="preserve"> Jenis Peralatan</v>
          </cell>
          <cell r="I115" t="str">
            <v>ASPHALT SPRAYER</v>
          </cell>
          <cell r="L115" t="str">
            <v>E 03</v>
          </cell>
        </row>
        <row r="116">
          <cell r="C116">
            <v>2</v>
          </cell>
          <cell r="D116" t="str">
            <v xml:space="preserve"> Tenaga</v>
          </cell>
          <cell r="I116" t="str">
            <v>Pw</v>
          </cell>
          <cell r="J116">
            <v>15</v>
          </cell>
          <cell r="K116" t="str">
            <v>HP</v>
          </cell>
        </row>
        <row r="117">
          <cell r="C117">
            <v>3</v>
          </cell>
          <cell r="D117" t="str">
            <v xml:space="preserve"> Kapasitas</v>
          </cell>
          <cell r="I117" t="str">
            <v>Cp</v>
          </cell>
          <cell r="J117">
            <v>800</v>
          </cell>
          <cell r="K117" t="str">
            <v>Liter</v>
          </cell>
        </row>
        <row r="118">
          <cell r="C118">
            <v>4</v>
          </cell>
          <cell r="D118" t="str">
            <v xml:space="preserve"> Alat Baru</v>
          </cell>
          <cell r="E118" t="str">
            <v>:</v>
          </cell>
          <cell r="F118" t="str">
            <v>a.</v>
          </cell>
          <cell r="G118" t="str">
            <v>Umur Ekonomis</v>
          </cell>
          <cell r="I118" t="str">
            <v>A</v>
          </cell>
          <cell r="J118">
            <v>5</v>
          </cell>
          <cell r="K118" t="str">
            <v>Tahun</v>
          </cell>
        </row>
        <row r="119">
          <cell r="F119" t="str">
            <v>b.</v>
          </cell>
          <cell r="G119" t="str">
            <v>Jam Kerja Dalam  1 Tahun</v>
          </cell>
          <cell r="I119" t="str">
            <v>W</v>
          </cell>
          <cell r="J119">
            <v>2000</v>
          </cell>
          <cell r="K119" t="str">
            <v>Jam</v>
          </cell>
        </row>
        <row r="120">
          <cell r="F120" t="str">
            <v>c.</v>
          </cell>
          <cell r="G120" t="str">
            <v>Harga Alat</v>
          </cell>
          <cell r="I120" t="str">
            <v>B</v>
          </cell>
          <cell r="J120">
            <v>132000000</v>
          </cell>
          <cell r="K120" t="str">
            <v>Rupiah</v>
          </cell>
        </row>
        <row r="121">
          <cell r="C121">
            <v>5</v>
          </cell>
          <cell r="D121" t="str">
            <v xml:space="preserve"> Alat Yang Dipakai</v>
          </cell>
          <cell r="E121" t="str">
            <v>:</v>
          </cell>
          <cell r="F121" t="str">
            <v>a.</v>
          </cell>
          <cell r="G121" t="str">
            <v>Umur Ekonomis</v>
          </cell>
          <cell r="I121" t="str">
            <v>A'</v>
          </cell>
          <cell r="J121">
            <v>5</v>
          </cell>
          <cell r="K121" t="str">
            <v>Tahun</v>
          </cell>
          <cell r="L121" t="str">
            <v>Alat Baru</v>
          </cell>
        </row>
        <row r="122">
          <cell r="F122" t="str">
            <v>b.</v>
          </cell>
          <cell r="G122" t="str">
            <v>Jam Kerja Dalam  1 Tahun</v>
          </cell>
          <cell r="I122" t="str">
            <v>W'</v>
          </cell>
          <cell r="J122">
            <v>2000</v>
          </cell>
          <cell r="K122" t="str">
            <v>Jam</v>
          </cell>
          <cell r="L122" t="str">
            <v>Alat Baru</v>
          </cell>
        </row>
        <row r="123">
          <cell r="F123" t="str">
            <v>c.</v>
          </cell>
          <cell r="G123" t="str">
            <v>Harga Alat  ( * )</v>
          </cell>
          <cell r="I123" t="str">
            <v>B'</v>
          </cell>
          <cell r="J123">
            <v>132000000</v>
          </cell>
          <cell r="K123" t="str">
            <v>Rupiah</v>
          </cell>
          <cell r="L123" t="str">
            <v>Alat Baru</v>
          </cell>
        </row>
        <row r="125">
          <cell r="C125" t="str">
            <v>B.</v>
          </cell>
          <cell r="D125" t="str">
            <v xml:space="preserve"> BIAYA PASTI PER JAM KERJA</v>
          </cell>
        </row>
        <row r="126">
          <cell r="C126">
            <v>1</v>
          </cell>
          <cell r="D126" t="str">
            <v xml:space="preserve"> Nilai Sisa Alat</v>
          </cell>
          <cell r="E126" t="str">
            <v>=  10 % x B</v>
          </cell>
          <cell r="I126" t="str">
            <v>C</v>
          </cell>
          <cell r="J126">
            <v>13200000</v>
          </cell>
          <cell r="K126" t="str">
            <v>Rupiah</v>
          </cell>
        </row>
        <row r="127">
          <cell r="C127">
            <v>2</v>
          </cell>
          <cell r="D127" t="str">
            <v xml:space="preserve"> Faktor Angsuran Modal</v>
          </cell>
          <cell r="F127" t="str">
            <v>=</v>
          </cell>
          <cell r="G127" t="str">
            <v>i x ( 1 + i ) ^ A'</v>
          </cell>
          <cell r="I127" t="str">
            <v>D</v>
          </cell>
          <cell r="J127">
            <v>0.33437970328961514</v>
          </cell>
          <cell r="K127" t="str">
            <v>-</v>
          </cell>
        </row>
        <row r="128">
          <cell r="G128" t="str">
            <v>( 1 + i ) ^ A' - 1</v>
          </cell>
        </row>
        <row r="129">
          <cell r="C129">
            <v>3</v>
          </cell>
          <cell r="D129" t="str">
            <v xml:space="preserve"> Biaya Pasti per Jam  :</v>
          </cell>
        </row>
        <row r="130">
          <cell r="D130" t="str">
            <v xml:space="preserve"> a. Biaya Pengembalian Modal</v>
          </cell>
          <cell r="F130" t="str">
            <v>=</v>
          </cell>
          <cell r="G130" t="str">
            <v>( B' - C ) x D</v>
          </cell>
          <cell r="I130" t="str">
            <v>E</v>
          </cell>
          <cell r="J130">
            <v>19862.154375403141</v>
          </cell>
          <cell r="K130" t="str">
            <v>Rupiah</v>
          </cell>
        </row>
        <row r="131">
          <cell r="G131" t="str">
            <v>W'</v>
          </cell>
        </row>
        <row r="132">
          <cell r="D132" t="str">
            <v xml:space="preserve"> b. Asuransi, dll</v>
          </cell>
          <cell r="E132" t="str">
            <v>=</v>
          </cell>
          <cell r="G132" t="str">
            <v>0,002 x B'</v>
          </cell>
          <cell r="I132" t="str">
            <v>F</v>
          </cell>
          <cell r="J132">
            <v>132</v>
          </cell>
          <cell r="K132" t="str">
            <v>Rupiah</v>
          </cell>
        </row>
        <row r="133">
          <cell r="G133" t="str">
            <v>W'</v>
          </cell>
        </row>
        <row r="134">
          <cell r="D134" t="str">
            <v xml:space="preserve"> Biaya Pasti per Jam</v>
          </cell>
          <cell r="E134" t="str">
            <v>=</v>
          </cell>
          <cell r="G134" t="str">
            <v>( E + F )</v>
          </cell>
          <cell r="I134" t="str">
            <v>G</v>
          </cell>
          <cell r="J134">
            <v>19994.154375403141</v>
          </cell>
          <cell r="K134" t="str">
            <v>Rupiah</v>
          </cell>
        </row>
        <row r="136">
          <cell r="C136" t="str">
            <v>C.</v>
          </cell>
          <cell r="D136" t="str">
            <v xml:space="preserve"> BIAYA OPERASI PER JAM KERJA</v>
          </cell>
        </row>
        <row r="137">
          <cell r="C137">
            <v>1</v>
          </cell>
          <cell r="D137" t="str">
            <v xml:space="preserve"> Bahan Bakar </v>
          </cell>
          <cell r="E137" t="str">
            <v>=</v>
          </cell>
          <cell r="F137" t="str">
            <v>(0,125 - 0,175 Ltr/HP/Jam) x Pw x Ms</v>
          </cell>
          <cell r="I137" t="str">
            <v>H</v>
          </cell>
          <cell r="J137">
            <v>8062.5</v>
          </cell>
          <cell r="K137" t="str">
            <v>Rupiah</v>
          </cell>
        </row>
        <row r="138">
          <cell r="C138">
            <v>2</v>
          </cell>
          <cell r="D138" t="str">
            <v xml:space="preserve"> Pelumas</v>
          </cell>
          <cell r="E138" t="str">
            <v>=</v>
          </cell>
          <cell r="F138" t="str">
            <v>(0,01 - 0,02 Ltr/HP/Jam) x Pw x Mp</v>
          </cell>
          <cell r="I138" t="str">
            <v>I</v>
          </cell>
          <cell r="J138">
            <v>4500</v>
          </cell>
          <cell r="K138" t="str">
            <v>Rupiah</v>
          </cell>
        </row>
        <row r="139">
          <cell r="C139">
            <v>3</v>
          </cell>
          <cell r="D139" t="str">
            <v xml:space="preserve"> Perawatan dan Perbaikan</v>
          </cell>
          <cell r="F139" t="str">
            <v>=</v>
          </cell>
          <cell r="G139" t="str">
            <v xml:space="preserve"> ( 12,5 % - 17,5 % ) x B'</v>
          </cell>
          <cell r="I139" t="str">
            <v>K</v>
          </cell>
          <cell r="J139">
            <v>8250</v>
          </cell>
          <cell r="K139" t="str">
            <v>Rupiah</v>
          </cell>
        </row>
        <row r="140">
          <cell r="G140" t="str">
            <v xml:space="preserve"> W'</v>
          </cell>
        </row>
        <row r="141">
          <cell r="C141">
            <v>4</v>
          </cell>
          <cell r="D141" t="str">
            <v xml:space="preserve"> Operator</v>
          </cell>
          <cell r="E141" t="str">
            <v>=</v>
          </cell>
          <cell r="F141" t="str">
            <v>( 1 Orang / Jam ) x U1</v>
          </cell>
          <cell r="I141" t="str">
            <v>L</v>
          </cell>
          <cell r="J141">
            <v>10750</v>
          </cell>
          <cell r="K141" t="str">
            <v>Rupiah</v>
          </cell>
        </row>
        <row r="142">
          <cell r="C142">
            <v>5</v>
          </cell>
          <cell r="D142" t="str">
            <v xml:space="preserve"> Pembantu Operator</v>
          </cell>
          <cell r="E142" t="str">
            <v>=</v>
          </cell>
          <cell r="F142" t="str">
            <v>( 1 Orang / Jam ) x U2</v>
          </cell>
          <cell r="I142" t="str">
            <v>M</v>
          </cell>
          <cell r="J142">
            <v>4500</v>
          </cell>
          <cell r="K142" t="str">
            <v>Rupiah</v>
          </cell>
        </row>
        <row r="143">
          <cell r="D143" t="str">
            <v xml:space="preserve"> Biaya Operasi Per Jam </v>
          </cell>
          <cell r="F143" t="str">
            <v>=</v>
          </cell>
          <cell r="G143" t="str">
            <v xml:space="preserve"> ( H + I + K + L + M )</v>
          </cell>
          <cell r="I143" t="str">
            <v>P</v>
          </cell>
          <cell r="J143">
            <v>36062.5</v>
          </cell>
          <cell r="K143" t="str">
            <v>Rupiah</v>
          </cell>
        </row>
        <row r="145">
          <cell r="C145" t="str">
            <v>D.</v>
          </cell>
          <cell r="D145" t="str">
            <v xml:space="preserve"> TOTAL BIAYA SEWA ALAT / JAM   =   ( G + P )</v>
          </cell>
          <cell r="I145" t="str">
            <v>S</v>
          </cell>
          <cell r="J145">
            <v>56056.654375403145</v>
          </cell>
          <cell r="K145" t="str">
            <v>Rupiah</v>
          </cell>
        </row>
        <row r="147">
          <cell r="C147" t="str">
            <v>E.</v>
          </cell>
          <cell r="D147" t="str">
            <v xml:space="preserve"> LAIN - LAIN</v>
          </cell>
        </row>
        <row r="148">
          <cell r="C148">
            <v>1</v>
          </cell>
          <cell r="D148" t="str">
            <v xml:space="preserve"> Tingkat Suku Bunga</v>
          </cell>
          <cell r="I148" t="str">
            <v>i</v>
          </cell>
          <cell r="J148">
            <v>20</v>
          </cell>
          <cell r="K148" t="str">
            <v>% / Tahun</v>
          </cell>
        </row>
        <row r="149">
          <cell r="C149">
            <v>2</v>
          </cell>
          <cell r="D149" t="str">
            <v xml:space="preserve"> Upah Operator / Sopir</v>
          </cell>
          <cell r="I149" t="str">
            <v>U1</v>
          </cell>
          <cell r="J149">
            <v>10750</v>
          </cell>
          <cell r="K149" t="str">
            <v>Rp. / Jam</v>
          </cell>
        </row>
        <row r="150">
          <cell r="C150">
            <v>3</v>
          </cell>
          <cell r="D150" t="str">
            <v xml:space="preserve"> Upah Pembantu Operator / Pembantu Sopir</v>
          </cell>
          <cell r="I150" t="str">
            <v>U2</v>
          </cell>
          <cell r="J150">
            <v>4500</v>
          </cell>
          <cell r="K150" t="str">
            <v>Rp. / Jam</v>
          </cell>
        </row>
        <row r="151">
          <cell r="C151">
            <v>4</v>
          </cell>
          <cell r="D151" t="str">
            <v xml:space="preserve"> Bahan Bakar Bensin</v>
          </cell>
          <cell r="I151" t="str">
            <v>Mb</v>
          </cell>
          <cell r="J151">
            <v>4500</v>
          </cell>
          <cell r="K151" t="str">
            <v>Liter</v>
          </cell>
        </row>
        <row r="152">
          <cell r="C152">
            <v>5</v>
          </cell>
          <cell r="D152" t="str">
            <v xml:space="preserve"> Bahan Bakar Solar</v>
          </cell>
          <cell r="I152" t="str">
            <v>Ms</v>
          </cell>
          <cell r="J152">
            <v>4300</v>
          </cell>
          <cell r="K152" t="str">
            <v>Liter</v>
          </cell>
        </row>
        <row r="153">
          <cell r="C153">
            <v>6</v>
          </cell>
          <cell r="D153" t="str">
            <v xml:space="preserve"> Minyak Pelumas</v>
          </cell>
          <cell r="I153" t="str">
            <v>Mp</v>
          </cell>
          <cell r="J153">
            <v>30000</v>
          </cell>
          <cell r="K153" t="str">
            <v>Liter</v>
          </cell>
        </row>
        <row r="154">
          <cell r="C154">
            <v>7</v>
          </cell>
          <cell r="D154" t="str">
            <v xml:space="preserve"> PPN diperhitungkan pada lembar Rekapitulasi Biaya Pekerjaan</v>
          </cell>
        </row>
        <row r="158">
          <cell r="C158" t="str">
            <v>JENIS ALAT</v>
          </cell>
          <cell r="E158" t="str">
            <v>:</v>
          </cell>
          <cell r="F158" t="str">
            <v>BULLDOZER 100 - 150 HP</v>
          </cell>
        </row>
        <row r="159">
          <cell r="C159" t="str">
            <v>PERUSAHAAN</v>
          </cell>
          <cell r="E159" t="str">
            <v>:</v>
          </cell>
          <cell r="F159" t="str">
            <v>NAD / ACEH TENGAH</v>
          </cell>
        </row>
        <row r="161">
          <cell r="C161" t="str">
            <v>No.</v>
          </cell>
          <cell r="D161" t="str">
            <v>URAIAN</v>
          </cell>
          <cell r="I161" t="str">
            <v>KODE</v>
          </cell>
          <cell r="J161" t="str">
            <v>KOEF.</v>
          </cell>
          <cell r="K161" t="str">
            <v>SATUAN</v>
          </cell>
          <cell r="L161" t="str">
            <v>KET.</v>
          </cell>
        </row>
        <row r="163">
          <cell r="C163" t="str">
            <v>A.</v>
          </cell>
          <cell r="D163" t="str">
            <v xml:space="preserve"> URAIAN PERALATAN</v>
          </cell>
        </row>
        <row r="164">
          <cell r="C164">
            <v>1</v>
          </cell>
          <cell r="D164" t="str">
            <v xml:space="preserve"> Jenis Peralatan</v>
          </cell>
          <cell r="I164" t="str">
            <v>BULLDOZER 100 - 150 HP</v>
          </cell>
          <cell r="L164" t="str">
            <v>E 04</v>
          </cell>
        </row>
        <row r="165">
          <cell r="C165">
            <v>2</v>
          </cell>
          <cell r="D165" t="str">
            <v xml:space="preserve"> Tenaga</v>
          </cell>
          <cell r="I165" t="str">
            <v>Pw</v>
          </cell>
          <cell r="J165">
            <v>150</v>
          </cell>
          <cell r="K165" t="str">
            <v>HP</v>
          </cell>
        </row>
        <row r="166">
          <cell r="C166">
            <v>3</v>
          </cell>
          <cell r="D166" t="str">
            <v xml:space="preserve"> Kapasitas</v>
          </cell>
          <cell r="I166" t="str">
            <v>Cp</v>
          </cell>
          <cell r="J166" t="str">
            <v xml:space="preserve">-    </v>
          </cell>
          <cell r="K166" t="str">
            <v>-</v>
          </cell>
        </row>
        <row r="167">
          <cell r="C167">
            <v>4</v>
          </cell>
          <cell r="D167" t="str">
            <v xml:space="preserve"> Alat Baru</v>
          </cell>
          <cell r="E167" t="str">
            <v>:</v>
          </cell>
          <cell r="F167" t="str">
            <v>a.</v>
          </cell>
          <cell r="G167" t="str">
            <v>Umur Ekonomis</v>
          </cell>
          <cell r="I167" t="str">
            <v>A</v>
          </cell>
          <cell r="J167">
            <v>5</v>
          </cell>
          <cell r="K167" t="str">
            <v>Tahun</v>
          </cell>
        </row>
        <row r="168">
          <cell r="F168" t="str">
            <v>b.</v>
          </cell>
          <cell r="G168" t="str">
            <v>Jam Kerja Dalam  1 Tahun</v>
          </cell>
          <cell r="I168" t="str">
            <v>W</v>
          </cell>
          <cell r="J168">
            <v>2000</v>
          </cell>
          <cell r="K168" t="str">
            <v>Jam</v>
          </cell>
        </row>
        <row r="169">
          <cell r="F169" t="str">
            <v>c.</v>
          </cell>
          <cell r="G169" t="str">
            <v>Harga Alat</v>
          </cell>
          <cell r="I169" t="str">
            <v>B</v>
          </cell>
          <cell r="J169">
            <v>1210000000</v>
          </cell>
          <cell r="K169" t="str">
            <v>Rupiah</v>
          </cell>
        </row>
        <row r="170">
          <cell r="C170">
            <v>5</v>
          </cell>
          <cell r="D170" t="str">
            <v xml:space="preserve"> Alat Yang Dipakai</v>
          </cell>
          <cell r="E170" t="str">
            <v>:</v>
          </cell>
          <cell r="F170" t="str">
            <v>a.</v>
          </cell>
          <cell r="G170" t="str">
            <v>Umur Ekonomis</v>
          </cell>
          <cell r="I170" t="str">
            <v>A'</v>
          </cell>
          <cell r="J170">
            <v>5</v>
          </cell>
          <cell r="K170" t="str">
            <v>Tahun</v>
          </cell>
          <cell r="L170" t="str">
            <v>Alat Baru</v>
          </cell>
        </row>
        <row r="171">
          <cell r="F171" t="str">
            <v>b.</v>
          </cell>
          <cell r="G171" t="str">
            <v>Jam Kerja Dalam  1 Tahun</v>
          </cell>
          <cell r="I171" t="str">
            <v>W'</v>
          </cell>
          <cell r="J171">
            <v>2000</v>
          </cell>
          <cell r="K171" t="str">
            <v>Jam</v>
          </cell>
          <cell r="L171" t="str">
            <v>Alat Baru</v>
          </cell>
        </row>
        <row r="172">
          <cell r="F172" t="str">
            <v>c.</v>
          </cell>
          <cell r="G172" t="str">
            <v>Harga Alat  ( * )</v>
          </cell>
          <cell r="I172" t="str">
            <v>B'</v>
          </cell>
          <cell r="J172">
            <v>1210000000</v>
          </cell>
          <cell r="K172" t="str">
            <v>Rupiah</v>
          </cell>
          <cell r="L172" t="str">
            <v>Alat Baru</v>
          </cell>
        </row>
        <row r="174">
          <cell r="C174" t="str">
            <v>B.</v>
          </cell>
          <cell r="D174" t="str">
            <v xml:space="preserve"> BIAYA PASTI PER JAM KERJA</v>
          </cell>
        </row>
        <row r="175">
          <cell r="C175">
            <v>1</v>
          </cell>
          <cell r="D175" t="str">
            <v xml:space="preserve"> Nilai Sisa Alat</v>
          </cell>
          <cell r="E175" t="str">
            <v>=  10 % x B</v>
          </cell>
          <cell r="I175" t="str">
            <v>C</v>
          </cell>
          <cell r="J175">
            <v>121000000</v>
          </cell>
          <cell r="K175" t="str">
            <v>Rupiah</v>
          </cell>
        </row>
        <row r="176">
          <cell r="C176">
            <v>2</v>
          </cell>
          <cell r="D176" t="str">
            <v xml:space="preserve"> Faktor Angsuran Modal</v>
          </cell>
          <cell r="F176" t="str">
            <v>=</v>
          </cell>
          <cell r="G176" t="str">
            <v>i x ( 1 + i ) ^ A'</v>
          </cell>
          <cell r="I176" t="str">
            <v>D</v>
          </cell>
          <cell r="J176">
            <v>0.33437970328961514</v>
          </cell>
          <cell r="K176" t="str">
            <v>-</v>
          </cell>
        </row>
        <row r="177">
          <cell r="G177" t="str">
            <v>( 1 + i ) ^ A' - 1</v>
          </cell>
        </row>
        <row r="178">
          <cell r="C178">
            <v>3</v>
          </cell>
          <cell r="D178" t="str">
            <v xml:space="preserve"> Biaya Pasti per Jam  :</v>
          </cell>
        </row>
        <row r="179">
          <cell r="D179" t="str">
            <v xml:space="preserve"> a. Biaya Pengembalian Modal</v>
          </cell>
          <cell r="F179" t="str">
            <v>=</v>
          </cell>
          <cell r="G179" t="str">
            <v>( B' - C ) x D</v>
          </cell>
          <cell r="I179" t="str">
            <v>E</v>
          </cell>
          <cell r="J179">
            <v>182069.74844119544</v>
          </cell>
          <cell r="K179" t="str">
            <v>Rupiah</v>
          </cell>
        </row>
        <row r="180">
          <cell r="G180" t="str">
            <v>W'</v>
          </cell>
        </row>
        <row r="181">
          <cell r="D181" t="str">
            <v xml:space="preserve"> b. Asuransi, dll</v>
          </cell>
          <cell r="E181" t="str">
            <v>=</v>
          </cell>
          <cell r="G181" t="str">
            <v>0,002 x B'</v>
          </cell>
          <cell r="I181" t="str">
            <v>F</v>
          </cell>
          <cell r="J181">
            <v>1210</v>
          </cell>
          <cell r="K181" t="str">
            <v>Rupiah</v>
          </cell>
        </row>
        <row r="182">
          <cell r="G182" t="str">
            <v>W'</v>
          </cell>
        </row>
        <row r="183">
          <cell r="D183" t="str">
            <v xml:space="preserve"> Biaya Pasti per Jam</v>
          </cell>
          <cell r="E183" t="str">
            <v>=</v>
          </cell>
          <cell r="G183" t="str">
            <v>( E + F )</v>
          </cell>
          <cell r="I183" t="str">
            <v>G</v>
          </cell>
          <cell r="J183">
            <v>183279.74844119544</v>
          </cell>
          <cell r="K183" t="str">
            <v>Rupiah</v>
          </cell>
        </row>
        <row r="185">
          <cell r="C185" t="str">
            <v>C.</v>
          </cell>
          <cell r="D185" t="str">
            <v xml:space="preserve"> BIAYA OPERASI PER JAM KERJA</v>
          </cell>
        </row>
        <row r="186">
          <cell r="C186">
            <v>1</v>
          </cell>
          <cell r="D186" t="str">
            <v xml:space="preserve"> Bahan Bakar </v>
          </cell>
          <cell r="E186" t="str">
            <v>=</v>
          </cell>
          <cell r="F186" t="str">
            <v>(0,125 - 0,175 Ltr/HP/Jam) x Pw x Ms</v>
          </cell>
          <cell r="I186" t="str">
            <v>H</v>
          </cell>
          <cell r="J186">
            <v>80625</v>
          </cell>
          <cell r="K186" t="str">
            <v>Rupiah</v>
          </cell>
        </row>
        <row r="187">
          <cell r="C187">
            <v>2</v>
          </cell>
          <cell r="D187" t="str">
            <v xml:space="preserve"> Pelumas</v>
          </cell>
          <cell r="E187" t="str">
            <v>=</v>
          </cell>
          <cell r="F187" t="str">
            <v>(0,01 - 0,02 Ltr/HP/Jam) x Pw x Mp</v>
          </cell>
          <cell r="I187" t="str">
            <v>I</v>
          </cell>
          <cell r="J187">
            <v>45000</v>
          </cell>
          <cell r="K187" t="str">
            <v>Rupiah</v>
          </cell>
        </row>
        <row r="188">
          <cell r="C188">
            <v>3</v>
          </cell>
          <cell r="D188" t="str">
            <v xml:space="preserve"> Perawatan dan Perbaikan</v>
          </cell>
          <cell r="F188" t="str">
            <v>=</v>
          </cell>
          <cell r="G188" t="str">
            <v xml:space="preserve"> ( 12,5 % - 17,5 % ) x B'</v>
          </cell>
          <cell r="I188" t="str">
            <v>K</v>
          </cell>
          <cell r="J188">
            <v>75625</v>
          </cell>
          <cell r="K188" t="str">
            <v>Rupiah</v>
          </cell>
        </row>
        <row r="189">
          <cell r="G189" t="str">
            <v xml:space="preserve"> W'</v>
          </cell>
        </row>
        <row r="190">
          <cell r="C190">
            <v>4</v>
          </cell>
          <cell r="D190" t="str">
            <v xml:space="preserve"> Operator</v>
          </cell>
          <cell r="E190" t="str">
            <v>=</v>
          </cell>
          <cell r="F190" t="str">
            <v>( 1 Orang / Jam ) x U1</v>
          </cell>
          <cell r="I190" t="str">
            <v>L</v>
          </cell>
          <cell r="J190">
            <v>10750</v>
          </cell>
          <cell r="K190" t="str">
            <v>Rupiah</v>
          </cell>
        </row>
        <row r="191">
          <cell r="C191">
            <v>5</v>
          </cell>
          <cell r="D191" t="str">
            <v xml:space="preserve"> Pembantu Operator</v>
          </cell>
          <cell r="E191" t="str">
            <v>=</v>
          </cell>
          <cell r="F191" t="str">
            <v>( 1 Orang / Jam ) x U2</v>
          </cell>
          <cell r="I191" t="str">
            <v>M</v>
          </cell>
          <cell r="J191">
            <v>4500</v>
          </cell>
          <cell r="K191" t="str">
            <v>Rupiah</v>
          </cell>
        </row>
        <row r="192">
          <cell r="D192" t="str">
            <v xml:space="preserve"> Biaya Operasi Per Jam </v>
          </cell>
          <cell r="F192" t="str">
            <v>=</v>
          </cell>
          <cell r="G192" t="str">
            <v xml:space="preserve"> ( H + I + K + L + M )</v>
          </cell>
          <cell r="I192" t="str">
            <v>P</v>
          </cell>
          <cell r="J192">
            <v>216500</v>
          </cell>
          <cell r="K192" t="str">
            <v>Rupiah</v>
          </cell>
        </row>
        <row r="194">
          <cell r="C194" t="str">
            <v>D.</v>
          </cell>
          <cell r="D194" t="str">
            <v xml:space="preserve"> TOTAL BIAYA SEWA ALAT / JAM   =   ( G + P )</v>
          </cell>
          <cell r="I194" t="str">
            <v>S</v>
          </cell>
          <cell r="J194">
            <v>399779.74844119546</v>
          </cell>
          <cell r="K194" t="str">
            <v>Rupiah</v>
          </cell>
        </row>
        <row r="196">
          <cell r="C196" t="str">
            <v>E.</v>
          </cell>
          <cell r="D196" t="str">
            <v xml:space="preserve"> LAIN - LAIN</v>
          </cell>
        </row>
        <row r="197">
          <cell r="C197">
            <v>1</v>
          </cell>
          <cell r="D197" t="str">
            <v xml:space="preserve"> Tingkat Suku Bunga</v>
          </cell>
          <cell r="I197" t="str">
            <v>i</v>
          </cell>
          <cell r="J197">
            <v>20</v>
          </cell>
          <cell r="K197" t="str">
            <v>% / Tahun</v>
          </cell>
        </row>
        <row r="198">
          <cell r="C198">
            <v>2</v>
          </cell>
          <cell r="D198" t="str">
            <v xml:space="preserve"> Upah Operator / Sopir</v>
          </cell>
          <cell r="I198" t="str">
            <v>U1</v>
          </cell>
          <cell r="J198">
            <v>10750</v>
          </cell>
          <cell r="K198" t="str">
            <v>Rp. / Jam</v>
          </cell>
        </row>
        <row r="199">
          <cell r="C199">
            <v>3</v>
          </cell>
          <cell r="D199" t="str">
            <v xml:space="preserve"> Upah Pembantu Operator / Pembantu Sopir</v>
          </cell>
          <cell r="I199" t="str">
            <v>U2</v>
          </cell>
          <cell r="J199">
            <v>4500</v>
          </cell>
          <cell r="K199" t="str">
            <v>Rp. / Jam</v>
          </cell>
        </row>
        <row r="200">
          <cell r="C200">
            <v>4</v>
          </cell>
          <cell r="D200" t="str">
            <v xml:space="preserve"> Bahan Bakar Bensin</v>
          </cell>
          <cell r="I200" t="str">
            <v>Mb</v>
          </cell>
          <cell r="J200">
            <v>4500</v>
          </cell>
          <cell r="K200" t="str">
            <v>Liter</v>
          </cell>
        </row>
        <row r="201">
          <cell r="C201">
            <v>5</v>
          </cell>
          <cell r="D201" t="str">
            <v xml:space="preserve"> Bahan Bakar Solar</v>
          </cell>
          <cell r="I201" t="str">
            <v>Ms</v>
          </cell>
          <cell r="J201">
            <v>4300</v>
          </cell>
          <cell r="K201" t="str">
            <v>Liter</v>
          </cell>
        </row>
        <row r="202">
          <cell r="C202">
            <v>6</v>
          </cell>
          <cell r="D202" t="str">
            <v xml:space="preserve"> Minyak Pelumas</v>
          </cell>
          <cell r="I202" t="str">
            <v>Mp</v>
          </cell>
          <cell r="J202">
            <v>30000</v>
          </cell>
          <cell r="K202" t="str">
            <v>Liter</v>
          </cell>
        </row>
        <row r="203">
          <cell r="C203">
            <v>7</v>
          </cell>
          <cell r="D203" t="str">
            <v xml:space="preserve"> PPN diperhitungkan pada lembar Rekapitulasi Biaya Pekerjaan</v>
          </cell>
        </row>
        <row r="207">
          <cell r="C207" t="str">
            <v>JENIS ALAT</v>
          </cell>
          <cell r="E207" t="str">
            <v>:</v>
          </cell>
          <cell r="F207" t="str">
            <v>COMPRESSOR 4000 - 6500 L/M</v>
          </cell>
        </row>
        <row r="208">
          <cell r="C208" t="str">
            <v>PERUSAHAAN</v>
          </cell>
          <cell r="E208" t="str">
            <v>:</v>
          </cell>
          <cell r="F208" t="str">
            <v>NAD / ACEH TENGAH</v>
          </cell>
        </row>
        <row r="210">
          <cell r="C210" t="str">
            <v>No.</v>
          </cell>
          <cell r="D210" t="str">
            <v>URAIAN</v>
          </cell>
          <cell r="I210" t="str">
            <v>KODE</v>
          </cell>
          <cell r="J210" t="str">
            <v>KOEF.</v>
          </cell>
          <cell r="K210" t="str">
            <v>SATUAN</v>
          </cell>
          <cell r="L210" t="str">
            <v>KET.</v>
          </cell>
        </row>
        <row r="212">
          <cell r="C212" t="str">
            <v>A.</v>
          </cell>
          <cell r="D212" t="str">
            <v xml:space="preserve"> URAIAN PERALATAN</v>
          </cell>
        </row>
        <row r="213">
          <cell r="C213">
            <v>1</v>
          </cell>
          <cell r="D213" t="str">
            <v xml:space="preserve"> Jenis Peralatan</v>
          </cell>
          <cell r="I213" t="str">
            <v>COMPRESSOR 4000 - 6500 L/M</v>
          </cell>
          <cell r="L213" t="str">
            <v>E 05</v>
          </cell>
        </row>
        <row r="214">
          <cell r="C214">
            <v>2</v>
          </cell>
          <cell r="D214" t="str">
            <v xml:space="preserve"> Tenaga</v>
          </cell>
          <cell r="I214" t="str">
            <v>Pw</v>
          </cell>
          <cell r="J214">
            <v>8</v>
          </cell>
          <cell r="K214" t="str">
            <v>HP</v>
          </cell>
        </row>
        <row r="215">
          <cell r="C215">
            <v>3</v>
          </cell>
          <cell r="D215" t="str">
            <v xml:space="preserve"> Kapasitas</v>
          </cell>
          <cell r="I215" t="str">
            <v>Cp</v>
          </cell>
          <cell r="J215" t="str">
            <v xml:space="preserve">-    </v>
          </cell>
          <cell r="K215" t="str">
            <v>-</v>
          </cell>
        </row>
        <row r="216">
          <cell r="C216">
            <v>4</v>
          </cell>
          <cell r="D216" t="str">
            <v xml:space="preserve"> Alat Baru</v>
          </cell>
          <cell r="E216" t="str">
            <v>:</v>
          </cell>
          <cell r="F216" t="str">
            <v>a.</v>
          </cell>
          <cell r="G216" t="str">
            <v>Umur Ekonomis</v>
          </cell>
          <cell r="I216" t="str">
            <v>A</v>
          </cell>
          <cell r="J216">
            <v>5</v>
          </cell>
          <cell r="K216" t="str">
            <v>Tahun</v>
          </cell>
        </row>
        <row r="217">
          <cell r="F217" t="str">
            <v>b.</v>
          </cell>
          <cell r="G217" t="str">
            <v>Jam Kerja Dalam  1 Tahun</v>
          </cell>
          <cell r="I217" t="str">
            <v>W</v>
          </cell>
          <cell r="J217">
            <v>2000</v>
          </cell>
          <cell r="K217" t="str">
            <v>Jam</v>
          </cell>
        </row>
        <row r="218">
          <cell r="F218" t="str">
            <v>c.</v>
          </cell>
          <cell r="G218" t="str">
            <v>Harga Alat</v>
          </cell>
          <cell r="I218" t="str">
            <v>B</v>
          </cell>
          <cell r="J218">
            <v>86000000</v>
          </cell>
          <cell r="K218" t="str">
            <v>Rupiah</v>
          </cell>
        </row>
        <row r="219">
          <cell r="C219">
            <v>5</v>
          </cell>
          <cell r="D219" t="str">
            <v xml:space="preserve"> Alat Yang Dipakai</v>
          </cell>
          <cell r="E219" t="str">
            <v>:</v>
          </cell>
          <cell r="F219" t="str">
            <v>a.</v>
          </cell>
          <cell r="G219" t="str">
            <v>Umur Ekonomis</v>
          </cell>
          <cell r="I219" t="str">
            <v>A'</v>
          </cell>
          <cell r="J219">
            <v>5</v>
          </cell>
          <cell r="K219" t="str">
            <v>Tahun</v>
          </cell>
          <cell r="L219" t="str">
            <v>Alat Baru</v>
          </cell>
        </row>
        <row r="220">
          <cell r="F220" t="str">
            <v>b.</v>
          </cell>
          <cell r="G220" t="str">
            <v>Jam Kerja Dalam  1 Tahun</v>
          </cell>
          <cell r="I220" t="str">
            <v>W'</v>
          </cell>
          <cell r="J220">
            <v>2000</v>
          </cell>
          <cell r="K220" t="str">
            <v>Jam</v>
          </cell>
          <cell r="L220" t="str">
            <v>Alat Baru</v>
          </cell>
        </row>
        <row r="221">
          <cell r="F221" t="str">
            <v>c.</v>
          </cell>
          <cell r="G221" t="str">
            <v>Harga Alat  ( * )</v>
          </cell>
          <cell r="I221" t="str">
            <v>B'</v>
          </cell>
          <cell r="J221">
            <v>86000000</v>
          </cell>
          <cell r="K221" t="str">
            <v>Rupiah</v>
          </cell>
          <cell r="L221" t="str">
            <v>Alat Baru</v>
          </cell>
        </row>
        <row r="223">
          <cell r="C223" t="str">
            <v>B.</v>
          </cell>
          <cell r="D223" t="str">
            <v xml:space="preserve"> BIAYA PASTI PER JAM KERJA</v>
          </cell>
        </row>
        <row r="224">
          <cell r="C224">
            <v>1</v>
          </cell>
          <cell r="D224" t="str">
            <v xml:space="preserve"> Nilai Sisa Alat</v>
          </cell>
          <cell r="E224" t="str">
            <v>=  10 % x B</v>
          </cell>
          <cell r="I224" t="str">
            <v>C</v>
          </cell>
          <cell r="J224">
            <v>8600000</v>
          </cell>
          <cell r="K224" t="str">
            <v>Rupiah</v>
          </cell>
        </row>
        <row r="225">
          <cell r="C225">
            <v>2</v>
          </cell>
          <cell r="D225" t="str">
            <v xml:space="preserve"> Faktor Angsuran Modal</v>
          </cell>
          <cell r="F225" t="str">
            <v>=</v>
          </cell>
          <cell r="G225" t="str">
            <v>i x ( 1 + i ) ^ A'</v>
          </cell>
          <cell r="I225" t="str">
            <v>D</v>
          </cell>
          <cell r="J225">
            <v>0.33437970328961514</v>
          </cell>
          <cell r="K225" t="str">
            <v>-</v>
          </cell>
        </row>
        <row r="226">
          <cell r="G226" t="str">
            <v>( 1 + i ) ^ A' - 1</v>
          </cell>
        </row>
        <row r="227">
          <cell r="C227">
            <v>3</v>
          </cell>
          <cell r="D227" t="str">
            <v xml:space="preserve"> Biaya Pasti per Jam  :</v>
          </cell>
        </row>
        <row r="228">
          <cell r="D228" t="str">
            <v xml:space="preserve"> a. Biaya Pengembalian Modal</v>
          </cell>
          <cell r="F228" t="str">
            <v>=</v>
          </cell>
          <cell r="G228" t="str">
            <v>( B' - C ) x D</v>
          </cell>
          <cell r="I228" t="str">
            <v>E</v>
          </cell>
          <cell r="J228">
            <v>12940.494517308107</v>
          </cell>
          <cell r="K228" t="str">
            <v>Rupiah</v>
          </cell>
        </row>
        <row r="229">
          <cell r="G229" t="str">
            <v>W'</v>
          </cell>
        </row>
        <row r="230">
          <cell r="D230" t="str">
            <v xml:space="preserve"> b. Asuransi, dll</v>
          </cell>
          <cell r="E230" t="str">
            <v>=</v>
          </cell>
          <cell r="G230" t="str">
            <v>0,002 x B'</v>
          </cell>
          <cell r="I230" t="str">
            <v>F</v>
          </cell>
          <cell r="J230">
            <v>86</v>
          </cell>
          <cell r="K230" t="str">
            <v>Rupiah</v>
          </cell>
        </row>
        <row r="231">
          <cell r="G231" t="str">
            <v>W'</v>
          </cell>
        </row>
        <row r="232">
          <cell r="D232" t="str">
            <v xml:space="preserve"> Biaya Pasti per Jam</v>
          </cell>
          <cell r="E232" t="str">
            <v>=</v>
          </cell>
          <cell r="G232" t="str">
            <v>( E + F )</v>
          </cell>
          <cell r="I232" t="str">
            <v>G</v>
          </cell>
          <cell r="J232">
            <v>13026.494517308107</v>
          </cell>
          <cell r="K232" t="str">
            <v>Rupiah</v>
          </cell>
        </row>
        <row r="234">
          <cell r="C234" t="str">
            <v>C.</v>
          </cell>
          <cell r="D234" t="str">
            <v xml:space="preserve"> BIAYA OPERASI PER JAM KERJA</v>
          </cell>
        </row>
        <row r="235">
          <cell r="C235">
            <v>1</v>
          </cell>
          <cell r="D235" t="str">
            <v xml:space="preserve"> Bahan Bakar </v>
          </cell>
          <cell r="E235" t="str">
            <v>=</v>
          </cell>
          <cell r="F235" t="str">
            <v>(0,125 - 0,175 Ltr/HP/Jam) x Pw x Ms</v>
          </cell>
          <cell r="I235" t="str">
            <v>H</v>
          </cell>
          <cell r="J235">
            <v>4300</v>
          </cell>
          <cell r="K235" t="str">
            <v>Rupiah</v>
          </cell>
        </row>
        <row r="236">
          <cell r="C236">
            <v>2</v>
          </cell>
          <cell r="D236" t="str">
            <v xml:space="preserve"> Pelumas</v>
          </cell>
          <cell r="E236" t="str">
            <v>=</v>
          </cell>
          <cell r="F236" t="str">
            <v>(0,01 - 0,02 Ltr/HP/Jam) x Pw x Mp</v>
          </cell>
          <cell r="I236" t="str">
            <v>I</v>
          </cell>
          <cell r="J236">
            <v>2400</v>
          </cell>
          <cell r="K236" t="str">
            <v>Rupiah</v>
          </cell>
        </row>
        <row r="237">
          <cell r="C237">
            <v>3</v>
          </cell>
          <cell r="D237" t="str">
            <v xml:space="preserve"> Perawatan dan Perbaikan</v>
          </cell>
          <cell r="F237" t="str">
            <v>=</v>
          </cell>
          <cell r="G237" t="str">
            <v xml:space="preserve"> ( 12,5 % - 17,5 % ) x B'</v>
          </cell>
          <cell r="I237" t="str">
            <v>K</v>
          </cell>
          <cell r="J237">
            <v>5375</v>
          </cell>
          <cell r="K237" t="str">
            <v>Rupiah</v>
          </cell>
        </row>
        <row r="238">
          <cell r="G238" t="str">
            <v xml:space="preserve"> W'</v>
          </cell>
        </row>
        <row r="239">
          <cell r="C239">
            <v>4</v>
          </cell>
          <cell r="D239" t="str">
            <v xml:space="preserve"> Operator</v>
          </cell>
          <cell r="E239" t="str">
            <v>=</v>
          </cell>
          <cell r="F239" t="str">
            <v>( 1 Orang / Jam ) x U1</v>
          </cell>
          <cell r="I239" t="str">
            <v>L</v>
          </cell>
          <cell r="J239">
            <v>10750</v>
          </cell>
          <cell r="K239" t="str">
            <v>Rupiah</v>
          </cell>
        </row>
        <row r="240">
          <cell r="C240">
            <v>5</v>
          </cell>
          <cell r="D240" t="str">
            <v xml:space="preserve"> Pembantu Operator</v>
          </cell>
          <cell r="E240" t="str">
            <v>=</v>
          </cell>
          <cell r="F240" t="str">
            <v>( 1 Orang / Jam ) x U2</v>
          </cell>
          <cell r="I240" t="str">
            <v>M</v>
          </cell>
          <cell r="J240">
            <v>4500</v>
          </cell>
          <cell r="K240" t="str">
            <v>Rupiah</v>
          </cell>
        </row>
        <row r="241">
          <cell r="D241" t="str">
            <v xml:space="preserve"> Biaya Operasi Per Jam </v>
          </cell>
          <cell r="F241" t="str">
            <v>=</v>
          </cell>
          <cell r="G241" t="str">
            <v xml:space="preserve"> ( H + I + K + L + M )</v>
          </cell>
          <cell r="I241" t="str">
            <v>P</v>
          </cell>
          <cell r="J241">
            <v>27325</v>
          </cell>
          <cell r="K241" t="str">
            <v>Rupiah</v>
          </cell>
        </row>
        <row r="243">
          <cell r="C243" t="str">
            <v>D.</v>
          </cell>
          <cell r="D243" t="str">
            <v xml:space="preserve"> TOTAL BIAYA SEWA ALAT / JAM   =   ( G + P )</v>
          </cell>
          <cell r="I243" t="str">
            <v>S</v>
          </cell>
          <cell r="J243">
            <v>40351.494517308107</v>
          </cell>
          <cell r="K243" t="str">
            <v>Rupiah</v>
          </cell>
        </row>
        <row r="245">
          <cell r="C245" t="str">
            <v>E.</v>
          </cell>
          <cell r="D245" t="str">
            <v xml:space="preserve"> LAIN - LAIN</v>
          </cell>
        </row>
        <row r="246">
          <cell r="C246">
            <v>1</v>
          </cell>
          <cell r="D246" t="str">
            <v xml:space="preserve"> Tingkat Suku Bunga</v>
          </cell>
          <cell r="I246" t="str">
            <v>i</v>
          </cell>
          <cell r="J246">
            <v>20</v>
          </cell>
          <cell r="K246" t="str">
            <v>% / Tahun</v>
          </cell>
        </row>
        <row r="247">
          <cell r="C247">
            <v>2</v>
          </cell>
          <cell r="D247" t="str">
            <v xml:space="preserve"> Upah Operator / Sopir</v>
          </cell>
          <cell r="I247" t="str">
            <v>U1</v>
          </cell>
          <cell r="J247">
            <v>10750</v>
          </cell>
          <cell r="K247" t="str">
            <v>Rp. / Jam</v>
          </cell>
        </row>
        <row r="248">
          <cell r="C248">
            <v>3</v>
          </cell>
          <cell r="D248" t="str">
            <v xml:space="preserve"> Upah Pembantu Operator / Pembantu Sopir</v>
          </cell>
          <cell r="I248" t="str">
            <v>U2</v>
          </cell>
          <cell r="J248">
            <v>4500</v>
          </cell>
          <cell r="K248" t="str">
            <v>Rp. / Jam</v>
          </cell>
        </row>
        <row r="249">
          <cell r="C249">
            <v>4</v>
          </cell>
          <cell r="D249" t="str">
            <v xml:space="preserve"> Bahan Bakar Bensin</v>
          </cell>
          <cell r="I249" t="str">
            <v>Mb</v>
          </cell>
          <cell r="J249">
            <v>4500</v>
          </cell>
          <cell r="K249" t="str">
            <v>Liter</v>
          </cell>
        </row>
        <row r="250">
          <cell r="C250">
            <v>5</v>
          </cell>
          <cell r="D250" t="str">
            <v xml:space="preserve"> Bahan Bakar Solar</v>
          </cell>
          <cell r="I250" t="str">
            <v>Ms</v>
          </cell>
          <cell r="J250">
            <v>4300</v>
          </cell>
          <cell r="K250" t="str">
            <v>Liter</v>
          </cell>
        </row>
        <row r="251">
          <cell r="C251">
            <v>6</v>
          </cell>
          <cell r="D251" t="str">
            <v xml:space="preserve"> Minyak Pelumas</v>
          </cell>
          <cell r="I251" t="str">
            <v>Mp</v>
          </cell>
          <cell r="J251">
            <v>30000</v>
          </cell>
          <cell r="K251" t="str">
            <v>Liter</v>
          </cell>
        </row>
        <row r="252">
          <cell r="C252">
            <v>7</v>
          </cell>
          <cell r="D252" t="str">
            <v xml:space="preserve"> PPN diperhitungkan pada lembar Rekapitulasi Biaya Pekerjaan</v>
          </cell>
        </row>
        <row r="256">
          <cell r="C256" t="str">
            <v>JENIS ALAT</v>
          </cell>
          <cell r="E256" t="str">
            <v>:</v>
          </cell>
          <cell r="F256" t="str">
            <v>CONCRETE MIXER 0,3 - 0,6 M3</v>
          </cell>
        </row>
        <row r="257">
          <cell r="C257" t="str">
            <v>PERUSAHAAN</v>
          </cell>
          <cell r="E257" t="str">
            <v>:</v>
          </cell>
          <cell r="F257" t="str">
            <v>NAD / ACEH TENGAH</v>
          </cell>
        </row>
        <row r="259">
          <cell r="C259" t="str">
            <v>No.</v>
          </cell>
          <cell r="D259" t="str">
            <v>URAIAN</v>
          </cell>
          <cell r="I259" t="str">
            <v>KODE</v>
          </cell>
          <cell r="J259" t="str">
            <v>KOEF.</v>
          </cell>
          <cell r="K259" t="str">
            <v>SATUAN</v>
          </cell>
          <cell r="L259" t="str">
            <v>KET.</v>
          </cell>
        </row>
        <row r="261">
          <cell r="C261" t="str">
            <v>A.</v>
          </cell>
          <cell r="D261" t="str">
            <v xml:space="preserve"> URAIAN PERALATAN</v>
          </cell>
        </row>
        <row r="262">
          <cell r="C262">
            <v>1</v>
          </cell>
          <cell r="D262" t="str">
            <v xml:space="preserve"> Jenis Peralatan</v>
          </cell>
          <cell r="I262" t="str">
            <v>CONCRETE MIXER 0,3 - 0,6 M3</v>
          </cell>
          <cell r="L262" t="str">
            <v>E 06</v>
          </cell>
        </row>
        <row r="263">
          <cell r="C263">
            <v>2</v>
          </cell>
          <cell r="D263" t="str">
            <v xml:space="preserve"> Tenaga</v>
          </cell>
          <cell r="I263" t="str">
            <v>Pw</v>
          </cell>
          <cell r="J263">
            <v>15</v>
          </cell>
          <cell r="K263" t="str">
            <v>HP</v>
          </cell>
        </row>
        <row r="264">
          <cell r="C264">
            <v>3</v>
          </cell>
          <cell r="D264" t="str">
            <v xml:space="preserve"> Kapasitas</v>
          </cell>
          <cell r="I264" t="str">
            <v>Cp</v>
          </cell>
          <cell r="J264">
            <v>500</v>
          </cell>
          <cell r="K264" t="str">
            <v>Liter</v>
          </cell>
        </row>
        <row r="265">
          <cell r="C265">
            <v>4</v>
          </cell>
          <cell r="D265" t="str">
            <v xml:space="preserve"> Alat Baru</v>
          </cell>
          <cell r="E265" t="str">
            <v>:</v>
          </cell>
          <cell r="F265" t="str">
            <v>a.</v>
          </cell>
          <cell r="G265" t="str">
            <v>Umur Ekonomis</v>
          </cell>
          <cell r="I265" t="str">
            <v>A</v>
          </cell>
          <cell r="J265">
            <v>4</v>
          </cell>
          <cell r="K265" t="str">
            <v>Tahun</v>
          </cell>
        </row>
        <row r="266">
          <cell r="F266" t="str">
            <v>b.</v>
          </cell>
          <cell r="G266" t="str">
            <v>Jam Kerja Dalam  1 Tahun</v>
          </cell>
          <cell r="I266" t="str">
            <v>W</v>
          </cell>
          <cell r="J266">
            <v>2000</v>
          </cell>
          <cell r="K266" t="str">
            <v>Jam</v>
          </cell>
        </row>
        <row r="267">
          <cell r="F267" t="str">
            <v>c.</v>
          </cell>
          <cell r="G267" t="str">
            <v>Harga Alat</v>
          </cell>
          <cell r="I267" t="str">
            <v>B</v>
          </cell>
          <cell r="J267">
            <v>39600000</v>
          </cell>
          <cell r="K267" t="str">
            <v>Rupiah</v>
          </cell>
        </row>
        <row r="268">
          <cell r="C268">
            <v>5</v>
          </cell>
          <cell r="D268" t="str">
            <v xml:space="preserve"> Alat Yang Dipakai</v>
          </cell>
          <cell r="E268" t="str">
            <v>:</v>
          </cell>
          <cell r="F268" t="str">
            <v>a.</v>
          </cell>
          <cell r="G268" t="str">
            <v>Umur Ekonomis</v>
          </cell>
          <cell r="I268" t="str">
            <v>A'</v>
          </cell>
          <cell r="J268">
            <v>4</v>
          </cell>
          <cell r="K268" t="str">
            <v>Tahun</v>
          </cell>
          <cell r="L268" t="str">
            <v>Alat Baru</v>
          </cell>
        </row>
        <row r="269">
          <cell r="F269" t="str">
            <v>b.</v>
          </cell>
          <cell r="G269" t="str">
            <v>Jam Kerja Dalam  1 Tahun</v>
          </cell>
          <cell r="I269" t="str">
            <v>W'</v>
          </cell>
          <cell r="J269">
            <v>2000</v>
          </cell>
          <cell r="K269" t="str">
            <v>Jam</v>
          </cell>
          <cell r="L269" t="str">
            <v>Alat Baru</v>
          </cell>
        </row>
        <row r="270">
          <cell r="F270" t="str">
            <v>c.</v>
          </cell>
          <cell r="G270" t="str">
            <v>Harga Alat  ( * )</v>
          </cell>
          <cell r="I270" t="str">
            <v>B'</v>
          </cell>
          <cell r="J270">
            <v>39600000</v>
          </cell>
          <cell r="K270" t="str">
            <v>Rupiah</v>
          </cell>
          <cell r="L270" t="str">
            <v>Alat Baru</v>
          </cell>
        </row>
        <row r="272">
          <cell r="C272" t="str">
            <v>B.</v>
          </cell>
          <cell r="D272" t="str">
            <v xml:space="preserve"> BIAYA PASTI PER JAM KERJA</v>
          </cell>
        </row>
        <row r="273">
          <cell r="C273">
            <v>1</v>
          </cell>
          <cell r="D273" t="str">
            <v xml:space="preserve"> Nilai Sisa Alat</v>
          </cell>
          <cell r="E273" t="str">
            <v>=  10 % x B</v>
          </cell>
          <cell r="I273" t="str">
            <v>C</v>
          </cell>
          <cell r="J273">
            <v>3960000</v>
          </cell>
          <cell r="K273" t="str">
            <v>Rupiah</v>
          </cell>
        </row>
        <row r="275">
          <cell r="C275">
            <v>2</v>
          </cell>
          <cell r="D275" t="str">
            <v xml:space="preserve"> Faktor Angsuran Modal</v>
          </cell>
          <cell r="F275" t="str">
            <v>=</v>
          </cell>
          <cell r="G275" t="str">
            <v>i x ( 1 + i ) ^ A'</v>
          </cell>
          <cell r="I275" t="str">
            <v>D</v>
          </cell>
          <cell r="J275">
            <v>0.38628912071535026</v>
          </cell>
          <cell r="K275" t="str">
            <v>-</v>
          </cell>
        </row>
        <row r="276">
          <cell r="G276" t="str">
            <v>( 1 + i ) ^ A' - 1</v>
          </cell>
        </row>
        <row r="277">
          <cell r="C277">
            <v>3</v>
          </cell>
          <cell r="D277" t="str">
            <v xml:space="preserve"> Biaya Pasti per Jam  :</v>
          </cell>
        </row>
        <row r="278">
          <cell r="D278" t="str">
            <v xml:space="preserve"> a. Biaya Pengembalian Modal</v>
          </cell>
          <cell r="F278" t="str">
            <v>=</v>
          </cell>
          <cell r="G278" t="str">
            <v>( B' - C ) x D</v>
          </cell>
          <cell r="I278" t="str">
            <v>E</v>
          </cell>
          <cell r="J278">
            <v>6883.6721311475421</v>
          </cell>
          <cell r="K278" t="str">
            <v>Rupiah</v>
          </cell>
        </row>
        <row r="279">
          <cell r="G279" t="str">
            <v>W'</v>
          </cell>
        </row>
        <row r="280">
          <cell r="D280" t="str">
            <v xml:space="preserve"> b. Asuransi, dll</v>
          </cell>
          <cell r="E280" t="str">
            <v>=</v>
          </cell>
          <cell r="G280" t="str">
            <v>0,002 x B'</v>
          </cell>
          <cell r="I280" t="str">
            <v>F</v>
          </cell>
          <cell r="J280">
            <v>39.6</v>
          </cell>
          <cell r="K280" t="str">
            <v>Rupiah</v>
          </cell>
        </row>
        <row r="281">
          <cell r="G281" t="str">
            <v>W'</v>
          </cell>
        </row>
        <row r="282">
          <cell r="D282" t="str">
            <v xml:space="preserve"> Biaya Pasti per Jam</v>
          </cell>
          <cell r="E282" t="str">
            <v>=</v>
          </cell>
          <cell r="G282" t="str">
            <v>( E + F )</v>
          </cell>
          <cell r="I282" t="str">
            <v>G</v>
          </cell>
          <cell r="J282">
            <v>6923.2721311475425</v>
          </cell>
          <cell r="K282" t="str">
            <v>Rupiah</v>
          </cell>
        </row>
        <row r="284">
          <cell r="C284" t="str">
            <v>C.</v>
          </cell>
          <cell r="D284" t="str">
            <v xml:space="preserve"> BIAYA OPERASI PER JAM KERJA</v>
          </cell>
        </row>
        <row r="285">
          <cell r="C285">
            <v>1</v>
          </cell>
          <cell r="D285" t="str">
            <v xml:space="preserve"> Bahan Bakar </v>
          </cell>
          <cell r="E285" t="str">
            <v>=</v>
          </cell>
          <cell r="F285" t="str">
            <v>(0,125 - 0,175 Ltr/HP/Jam) x Pw x Ms</v>
          </cell>
          <cell r="I285" t="str">
            <v>H</v>
          </cell>
          <cell r="J285">
            <v>8062.5</v>
          </cell>
          <cell r="K285" t="str">
            <v>Rupiah</v>
          </cell>
        </row>
        <row r="286">
          <cell r="C286">
            <v>2</v>
          </cell>
          <cell r="D286" t="str">
            <v xml:space="preserve"> Pelumas</v>
          </cell>
          <cell r="E286" t="str">
            <v>=</v>
          </cell>
          <cell r="F286" t="str">
            <v>(0,01 - 0,02 Ltr/HP/Jam) x Pw x Mp</v>
          </cell>
          <cell r="I286" t="str">
            <v>I</v>
          </cell>
          <cell r="J286">
            <v>4500</v>
          </cell>
          <cell r="K286" t="str">
            <v>Rupiah</v>
          </cell>
        </row>
        <row r="287">
          <cell r="C287">
            <v>3</v>
          </cell>
          <cell r="D287" t="str">
            <v xml:space="preserve"> Perawatan dan Perbaikan</v>
          </cell>
          <cell r="F287" t="str">
            <v>=</v>
          </cell>
          <cell r="G287" t="str">
            <v xml:space="preserve"> ( 12,5 % - 17,5 % ) x B'</v>
          </cell>
          <cell r="I287" t="str">
            <v>K</v>
          </cell>
          <cell r="J287">
            <v>2475</v>
          </cell>
          <cell r="K287" t="str">
            <v>Rupiah</v>
          </cell>
        </row>
        <row r="288">
          <cell r="G288" t="str">
            <v xml:space="preserve"> W'</v>
          </cell>
        </row>
        <row r="289">
          <cell r="C289">
            <v>4</v>
          </cell>
          <cell r="D289" t="str">
            <v xml:space="preserve"> Operator</v>
          </cell>
          <cell r="E289" t="str">
            <v>=</v>
          </cell>
          <cell r="F289" t="str">
            <v>( 1 Orang / Jam ) x U1</v>
          </cell>
          <cell r="I289" t="str">
            <v>L</v>
          </cell>
          <cell r="J289">
            <v>10750</v>
          </cell>
          <cell r="K289" t="str">
            <v>Rupiah</v>
          </cell>
        </row>
        <row r="290">
          <cell r="C290">
            <v>5</v>
          </cell>
          <cell r="D290" t="str">
            <v xml:space="preserve"> Pembantu Operator</v>
          </cell>
          <cell r="E290" t="str">
            <v>=</v>
          </cell>
          <cell r="F290" t="str">
            <v>( 1 Orang / Jam ) x U2</v>
          </cell>
          <cell r="I290" t="str">
            <v>M</v>
          </cell>
          <cell r="J290">
            <v>4500</v>
          </cell>
          <cell r="K290" t="str">
            <v>Rupiah</v>
          </cell>
        </row>
        <row r="291">
          <cell r="D291" t="str">
            <v xml:space="preserve"> Biaya Operasi Per Jam </v>
          </cell>
          <cell r="F291" t="str">
            <v>=</v>
          </cell>
          <cell r="G291" t="str">
            <v xml:space="preserve"> ( H + I + K + L + M )</v>
          </cell>
          <cell r="I291" t="str">
            <v>P</v>
          </cell>
          <cell r="J291">
            <v>30287.5</v>
          </cell>
          <cell r="K291" t="str">
            <v>Rupiah</v>
          </cell>
        </row>
        <row r="293">
          <cell r="C293" t="str">
            <v>D.</v>
          </cell>
          <cell r="D293" t="str">
            <v xml:space="preserve"> TOTAL BIAYA SEWA ALAT / JAM   =   ( G + P )</v>
          </cell>
          <cell r="I293" t="str">
            <v>S</v>
          </cell>
          <cell r="J293">
            <v>37210.77213114754</v>
          </cell>
          <cell r="K293" t="str">
            <v>Rupiah</v>
          </cell>
        </row>
        <row r="295">
          <cell r="C295" t="str">
            <v>E.</v>
          </cell>
          <cell r="D295" t="str">
            <v xml:space="preserve"> LAIN - LAIN</v>
          </cell>
        </row>
        <row r="296">
          <cell r="C296">
            <v>1</v>
          </cell>
          <cell r="D296" t="str">
            <v xml:space="preserve"> Tingkat Suku Bunga</v>
          </cell>
          <cell r="I296" t="str">
            <v>i</v>
          </cell>
          <cell r="J296">
            <v>20</v>
          </cell>
          <cell r="K296" t="str">
            <v>% / Tahun</v>
          </cell>
        </row>
        <row r="297">
          <cell r="C297">
            <v>2</v>
          </cell>
          <cell r="D297" t="str">
            <v xml:space="preserve"> Upah Operator / Sopir</v>
          </cell>
          <cell r="I297" t="str">
            <v>U1</v>
          </cell>
          <cell r="J297">
            <v>10750</v>
          </cell>
          <cell r="K297" t="str">
            <v>Rp. / Jam</v>
          </cell>
        </row>
        <row r="298">
          <cell r="C298">
            <v>3</v>
          </cell>
          <cell r="D298" t="str">
            <v xml:space="preserve"> Upah Pembantu Operator / Pembantu Sopir</v>
          </cell>
          <cell r="I298" t="str">
            <v>U2</v>
          </cell>
          <cell r="J298">
            <v>4500</v>
          </cell>
          <cell r="K298" t="str">
            <v>Rp. / Jam</v>
          </cell>
        </row>
        <row r="299">
          <cell r="C299">
            <v>4</v>
          </cell>
          <cell r="D299" t="str">
            <v xml:space="preserve"> Bahan Bakar Bensin</v>
          </cell>
          <cell r="I299" t="str">
            <v>Mb</v>
          </cell>
          <cell r="J299">
            <v>4500</v>
          </cell>
          <cell r="K299" t="str">
            <v>Liter</v>
          </cell>
        </row>
        <row r="300">
          <cell r="C300">
            <v>5</v>
          </cell>
          <cell r="D300" t="str">
            <v xml:space="preserve"> Bahan Bakar Solar</v>
          </cell>
          <cell r="I300" t="str">
            <v>Ms</v>
          </cell>
          <cell r="J300">
            <v>4300</v>
          </cell>
          <cell r="K300" t="str">
            <v>Liter</v>
          </cell>
        </row>
        <row r="301">
          <cell r="C301">
            <v>6</v>
          </cell>
          <cell r="D301" t="str">
            <v xml:space="preserve"> Minyak Pelumas</v>
          </cell>
          <cell r="I301" t="str">
            <v>Mp</v>
          </cell>
          <cell r="J301">
            <v>30000</v>
          </cell>
          <cell r="K301" t="str">
            <v>Liter</v>
          </cell>
        </row>
        <row r="302">
          <cell r="C302">
            <v>7</v>
          </cell>
          <cell r="D302" t="str">
            <v xml:space="preserve"> PPN diperhitungkan pada lembar Rekapitulasi Biaya Pekerjaan</v>
          </cell>
        </row>
        <row r="306">
          <cell r="C306" t="str">
            <v>JENIS ALAT</v>
          </cell>
          <cell r="E306" t="str">
            <v>:</v>
          </cell>
          <cell r="F306" t="str">
            <v>CRANE 10 - 15 TON</v>
          </cell>
        </row>
        <row r="307">
          <cell r="C307" t="str">
            <v>PERUSAHAAN</v>
          </cell>
          <cell r="E307" t="str">
            <v>:</v>
          </cell>
          <cell r="F307" t="str">
            <v>NAD / ACEH TENGAH</v>
          </cell>
        </row>
        <row r="309">
          <cell r="C309" t="str">
            <v>No.</v>
          </cell>
          <cell r="D309" t="str">
            <v>URAIAN</v>
          </cell>
          <cell r="I309" t="str">
            <v>KODE</v>
          </cell>
          <cell r="J309" t="str">
            <v>KOEF.</v>
          </cell>
          <cell r="K309" t="str">
            <v>SATUAN</v>
          </cell>
          <cell r="L309" t="str">
            <v>KET.</v>
          </cell>
        </row>
        <row r="311">
          <cell r="C311" t="str">
            <v>A.</v>
          </cell>
          <cell r="D311" t="str">
            <v xml:space="preserve"> URAIAN PERALATAN</v>
          </cell>
        </row>
        <row r="312">
          <cell r="C312">
            <v>1</v>
          </cell>
          <cell r="D312" t="str">
            <v xml:space="preserve"> Jenis Peralatan</v>
          </cell>
          <cell r="I312" t="str">
            <v>CRANE 10 - 15 TON</v>
          </cell>
          <cell r="L312" t="str">
            <v>E 07</v>
          </cell>
        </row>
        <row r="313">
          <cell r="C313">
            <v>2</v>
          </cell>
          <cell r="D313" t="str">
            <v xml:space="preserve"> Tenaga</v>
          </cell>
          <cell r="I313" t="str">
            <v>Pw</v>
          </cell>
          <cell r="J313">
            <v>150</v>
          </cell>
          <cell r="K313" t="str">
            <v>HP</v>
          </cell>
        </row>
        <row r="314">
          <cell r="C314">
            <v>3</v>
          </cell>
          <cell r="D314" t="str">
            <v xml:space="preserve"> Kapasitas</v>
          </cell>
          <cell r="I314" t="str">
            <v>Cp</v>
          </cell>
          <cell r="J314">
            <v>15</v>
          </cell>
          <cell r="K314" t="str">
            <v>Ton</v>
          </cell>
        </row>
        <row r="315">
          <cell r="C315">
            <v>4</v>
          </cell>
          <cell r="D315" t="str">
            <v xml:space="preserve"> Alat Baru</v>
          </cell>
          <cell r="E315" t="str">
            <v>:</v>
          </cell>
          <cell r="F315" t="str">
            <v>a.</v>
          </cell>
          <cell r="G315" t="str">
            <v>Umur Ekonomis</v>
          </cell>
          <cell r="I315" t="str">
            <v>A</v>
          </cell>
          <cell r="J315">
            <v>5</v>
          </cell>
          <cell r="K315" t="str">
            <v>Tahun</v>
          </cell>
        </row>
        <row r="316">
          <cell r="F316" t="str">
            <v>b.</v>
          </cell>
          <cell r="G316" t="str">
            <v>Jam Kerja Dalam  1 Tahun</v>
          </cell>
          <cell r="I316" t="str">
            <v>W</v>
          </cell>
          <cell r="J316">
            <v>2000</v>
          </cell>
          <cell r="K316" t="str">
            <v>Jam</v>
          </cell>
        </row>
        <row r="317">
          <cell r="F317" t="str">
            <v>c.</v>
          </cell>
          <cell r="G317" t="str">
            <v>Harga Alat</v>
          </cell>
          <cell r="I317" t="str">
            <v>B</v>
          </cell>
          <cell r="J317">
            <v>836000000</v>
          </cell>
          <cell r="K317" t="str">
            <v>Rupiah</v>
          </cell>
        </row>
        <row r="318">
          <cell r="C318">
            <v>5</v>
          </cell>
          <cell r="D318" t="str">
            <v xml:space="preserve"> Alat Yang Dipakai</v>
          </cell>
          <cell r="E318" t="str">
            <v>:</v>
          </cell>
          <cell r="F318" t="str">
            <v>a.</v>
          </cell>
          <cell r="G318" t="str">
            <v>Umur Ekonomis</v>
          </cell>
          <cell r="I318" t="str">
            <v>A'</v>
          </cell>
          <cell r="J318">
            <v>5</v>
          </cell>
          <cell r="K318" t="str">
            <v>Tahun</v>
          </cell>
          <cell r="L318" t="str">
            <v>Alat Baru</v>
          </cell>
        </row>
        <row r="319">
          <cell r="F319" t="str">
            <v>b.</v>
          </cell>
          <cell r="G319" t="str">
            <v>Jam Kerja Dalam  1 Tahun</v>
          </cell>
          <cell r="I319" t="str">
            <v>W'</v>
          </cell>
          <cell r="J319">
            <v>2000</v>
          </cell>
          <cell r="K319" t="str">
            <v>Jam</v>
          </cell>
          <cell r="L319" t="str">
            <v>Alat Baru</v>
          </cell>
        </row>
        <row r="320">
          <cell r="F320" t="str">
            <v>c.</v>
          </cell>
          <cell r="G320" t="str">
            <v>Harga Alat  ( * )</v>
          </cell>
          <cell r="I320" t="str">
            <v>B'</v>
          </cell>
          <cell r="J320">
            <v>836000000</v>
          </cell>
          <cell r="K320" t="str">
            <v>Rupiah</v>
          </cell>
          <cell r="L320" t="str">
            <v>Alat Baru</v>
          </cell>
        </row>
        <row r="322">
          <cell r="C322" t="str">
            <v>B.</v>
          </cell>
          <cell r="D322" t="str">
            <v xml:space="preserve"> BIAYA PASTI PER JAM KERJA</v>
          </cell>
        </row>
        <row r="323">
          <cell r="C323">
            <v>1</v>
          </cell>
          <cell r="D323" t="str">
            <v xml:space="preserve"> Nilai Sisa Alat</v>
          </cell>
          <cell r="E323" t="str">
            <v>=  10 % x B</v>
          </cell>
          <cell r="I323" t="str">
            <v>C</v>
          </cell>
          <cell r="J323">
            <v>83600000</v>
          </cell>
          <cell r="K323" t="str">
            <v>Rupiah</v>
          </cell>
        </row>
        <row r="324">
          <cell r="C324">
            <v>2</v>
          </cell>
          <cell r="D324" t="str">
            <v xml:space="preserve"> Faktor Angsuran Modal</v>
          </cell>
          <cell r="F324" t="str">
            <v>=</v>
          </cell>
          <cell r="G324" t="str">
            <v>i x ( 1 + i ) ^ A'</v>
          </cell>
          <cell r="I324" t="str">
            <v>D</v>
          </cell>
          <cell r="J324">
            <v>0.33437970328961514</v>
          </cell>
          <cell r="K324" t="str">
            <v>-</v>
          </cell>
        </row>
        <row r="325">
          <cell r="G325" t="str">
            <v>( 1 + i ) ^ A' - 1</v>
          </cell>
        </row>
        <row r="326">
          <cell r="C326">
            <v>3</v>
          </cell>
          <cell r="D326" t="str">
            <v xml:space="preserve"> Biaya Pasti per Jam  :</v>
          </cell>
        </row>
        <row r="327">
          <cell r="D327" t="str">
            <v xml:space="preserve"> a. Biaya Pengembalian Modal</v>
          </cell>
          <cell r="F327" t="str">
            <v>=</v>
          </cell>
          <cell r="G327" t="str">
            <v>( B' - C ) x D</v>
          </cell>
          <cell r="I327" t="str">
            <v>E</v>
          </cell>
          <cell r="J327">
            <v>125793.64437755321</v>
          </cell>
          <cell r="K327" t="str">
            <v>Rupiah</v>
          </cell>
        </row>
        <row r="328">
          <cell r="G328" t="str">
            <v>W'</v>
          </cell>
        </row>
        <row r="329">
          <cell r="D329" t="str">
            <v xml:space="preserve"> b. Asuransi, dll</v>
          </cell>
          <cell r="E329" t="str">
            <v>=</v>
          </cell>
          <cell r="G329" t="str">
            <v>0,002 x B'</v>
          </cell>
          <cell r="I329" t="str">
            <v>F</v>
          </cell>
          <cell r="J329">
            <v>836</v>
          </cell>
          <cell r="K329" t="str">
            <v>Rupiah</v>
          </cell>
        </row>
        <row r="330">
          <cell r="G330" t="str">
            <v>W'</v>
          </cell>
        </row>
        <row r="331">
          <cell r="D331" t="str">
            <v xml:space="preserve"> Biaya Pasti per Jam</v>
          </cell>
          <cell r="E331" t="str">
            <v>=</v>
          </cell>
          <cell r="G331" t="str">
            <v>( E + F )</v>
          </cell>
          <cell r="I331" t="str">
            <v>G</v>
          </cell>
          <cell r="J331">
            <v>126629.64437755321</v>
          </cell>
          <cell r="K331" t="str">
            <v>Rupiah</v>
          </cell>
        </row>
        <row r="333">
          <cell r="C333" t="str">
            <v>C.</v>
          </cell>
          <cell r="D333" t="str">
            <v xml:space="preserve"> BIAYA OPERASI PER JAM KERJA</v>
          </cell>
        </row>
        <row r="334">
          <cell r="C334">
            <v>1</v>
          </cell>
          <cell r="D334" t="str">
            <v xml:space="preserve"> Bahan Bakar </v>
          </cell>
          <cell r="E334" t="str">
            <v>=</v>
          </cell>
          <cell r="F334" t="str">
            <v>(0,125 - 0,175 Ltr/HP/Jam) x Pw x Ms</v>
          </cell>
          <cell r="I334" t="str">
            <v>H</v>
          </cell>
          <cell r="J334">
            <v>80625</v>
          </cell>
          <cell r="K334" t="str">
            <v>Rupiah</v>
          </cell>
        </row>
        <row r="335">
          <cell r="C335">
            <v>2</v>
          </cell>
          <cell r="D335" t="str">
            <v xml:space="preserve"> Pelumas</v>
          </cell>
          <cell r="E335" t="str">
            <v>=</v>
          </cell>
          <cell r="F335" t="str">
            <v>(0,01 - 0,02 Ltr/HP/Jam) x Pw x Mp</v>
          </cell>
          <cell r="I335" t="str">
            <v>I</v>
          </cell>
          <cell r="J335">
            <v>45000</v>
          </cell>
          <cell r="K335" t="str">
            <v>Rupiah</v>
          </cell>
        </row>
        <row r="336">
          <cell r="C336">
            <v>3</v>
          </cell>
          <cell r="D336" t="str">
            <v xml:space="preserve"> Perawatan dan Perbaikan</v>
          </cell>
          <cell r="F336" t="str">
            <v>=</v>
          </cell>
          <cell r="G336" t="str">
            <v xml:space="preserve"> ( 12,5 % - 17,5 % ) x B'</v>
          </cell>
          <cell r="I336" t="str">
            <v>K</v>
          </cell>
          <cell r="J336">
            <v>52250</v>
          </cell>
          <cell r="K336" t="str">
            <v>Rupiah</v>
          </cell>
        </row>
        <row r="337">
          <cell r="G337" t="str">
            <v xml:space="preserve"> W'</v>
          </cell>
        </row>
        <row r="338">
          <cell r="C338">
            <v>4</v>
          </cell>
          <cell r="D338" t="str">
            <v xml:space="preserve"> Operator</v>
          </cell>
          <cell r="E338" t="str">
            <v>=</v>
          </cell>
          <cell r="F338" t="str">
            <v>( 1 Orang / Jam ) x U1</v>
          </cell>
          <cell r="I338" t="str">
            <v>L</v>
          </cell>
          <cell r="J338">
            <v>10750</v>
          </cell>
          <cell r="K338" t="str">
            <v>Rupiah</v>
          </cell>
        </row>
        <row r="339">
          <cell r="C339">
            <v>5</v>
          </cell>
          <cell r="D339" t="str">
            <v xml:space="preserve"> Pembantu Operator</v>
          </cell>
          <cell r="E339" t="str">
            <v>=</v>
          </cell>
          <cell r="F339" t="str">
            <v>( 1 Orang / Jam ) x U2</v>
          </cell>
          <cell r="I339" t="str">
            <v>M</v>
          </cell>
          <cell r="J339">
            <v>4500</v>
          </cell>
          <cell r="K339" t="str">
            <v>Rupiah</v>
          </cell>
        </row>
        <row r="340">
          <cell r="D340" t="str">
            <v xml:space="preserve"> Biaya Operasi Per Jam </v>
          </cell>
          <cell r="F340" t="str">
            <v>=</v>
          </cell>
          <cell r="G340" t="str">
            <v xml:space="preserve"> ( H + I + K + L + M )</v>
          </cell>
          <cell r="I340" t="str">
            <v>P</v>
          </cell>
          <cell r="J340">
            <v>193125</v>
          </cell>
          <cell r="K340" t="str">
            <v>Rupiah</v>
          </cell>
        </row>
        <row r="342">
          <cell r="C342" t="str">
            <v>D.</v>
          </cell>
          <cell r="D342" t="str">
            <v xml:space="preserve"> TOTAL BIAYA SEWA ALAT / JAM   =   ( G + P )</v>
          </cell>
          <cell r="I342" t="str">
            <v>S</v>
          </cell>
          <cell r="J342">
            <v>319754.6443775532</v>
          </cell>
          <cell r="K342" t="str">
            <v>Rupiah</v>
          </cell>
        </row>
        <row r="344">
          <cell r="C344" t="str">
            <v>E.</v>
          </cell>
          <cell r="D344" t="str">
            <v xml:space="preserve"> LAIN - LAIN</v>
          </cell>
        </row>
        <row r="345">
          <cell r="C345">
            <v>1</v>
          </cell>
          <cell r="D345" t="str">
            <v xml:space="preserve"> Tingkat Suku Bunga</v>
          </cell>
          <cell r="I345" t="str">
            <v>i</v>
          </cell>
          <cell r="J345">
            <v>20</v>
          </cell>
          <cell r="K345" t="str">
            <v>% / Tahun</v>
          </cell>
        </row>
        <row r="346">
          <cell r="C346">
            <v>2</v>
          </cell>
          <cell r="D346" t="str">
            <v xml:space="preserve"> Upah Operator / Sopir</v>
          </cell>
          <cell r="I346" t="str">
            <v>U1</v>
          </cell>
          <cell r="J346">
            <v>10750</v>
          </cell>
          <cell r="K346" t="str">
            <v>Rp. / Jam</v>
          </cell>
        </row>
        <row r="347">
          <cell r="C347">
            <v>3</v>
          </cell>
          <cell r="D347" t="str">
            <v xml:space="preserve"> Upah Pembantu Operator / Pembantu Sopir</v>
          </cell>
          <cell r="I347" t="str">
            <v>U2</v>
          </cell>
          <cell r="J347">
            <v>4500</v>
          </cell>
          <cell r="K347" t="str">
            <v>Rp. / Jam</v>
          </cell>
        </row>
        <row r="348">
          <cell r="C348">
            <v>4</v>
          </cell>
          <cell r="D348" t="str">
            <v xml:space="preserve"> Bahan Bakar Bensin</v>
          </cell>
          <cell r="I348" t="str">
            <v>Mb</v>
          </cell>
          <cell r="J348">
            <v>4500</v>
          </cell>
          <cell r="K348" t="str">
            <v>Liter</v>
          </cell>
        </row>
        <row r="349">
          <cell r="C349">
            <v>5</v>
          </cell>
          <cell r="D349" t="str">
            <v xml:space="preserve"> Bahan Bakar Solar</v>
          </cell>
          <cell r="I349" t="str">
            <v>Ms</v>
          </cell>
          <cell r="J349">
            <v>4300</v>
          </cell>
          <cell r="K349" t="str">
            <v>Liter</v>
          </cell>
        </row>
        <row r="350">
          <cell r="C350">
            <v>6</v>
          </cell>
          <cell r="D350" t="str">
            <v xml:space="preserve"> Minyak Pelumas</v>
          </cell>
          <cell r="I350" t="str">
            <v>Mp</v>
          </cell>
          <cell r="J350">
            <v>30000</v>
          </cell>
          <cell r="K350" t="str">
            <v>Liter</v>
          </cell>
        </row>
        <row r="351">
          <cell r="C351">
            <v>7</v>
          </cell>
          <cell r="D351" t="str">
            <v xml:space="preserve"> PPN diperhitungkan pada lembar Rekapitulasi Biaya Pekerjaan</v>
          </cell>
        </row>
        <row r="355">
          <cell r="C355" t="str">
            <v>JENIS ALAT</v>
          </cell>
          <cell r="E355" t="str">
            <v>:</v>
          </cell>
          <cell r="F355" t="str">
            <v>DUMP TRUCK 3 - 4 M3</v>
          </cell>
        </row>
        <row r="356">
          <cell r="C356" t="str">
            <v>PERUSAHAAN</v>
          </cell>
          <cell r="E356" t="str">
            <v>:</v>
          </cell>
          <cell r="F356" t="str">
            <v>NAD / ACEH TENGAH</v>
          </cell>
        </row>
        <row r="358">
          <cell r="C358" t="str">
            <v>No.</v>
          </cell>
          <cell r="D358" t="str">
            <v>URAIAN</v>
          </cell>
          <cell r="I358" t="str">
            <v>KODE</v>
          </cell>
          <cell r="J358" t="str">
            <v>KOEF.</v>
          </cell>
          <cell r="K358" t="str">
            <v>SATUAN</v>
          </cell>
          <cell r="L358" t="str">
            <v>KET.</v>
          </cell>
        </row>
        <row r="360">
          <cell r="C360" t="str">
            <v>A.</v>
          </cell>
          <cell r="D360" t="str">
            <v xml:space="preserve"> URAIAN PERALATAN</v>
          </cell>
        </row>
        <row r="361">
          <cell r="C361">
            <v>1</v>
          </cell>
          <cell r="D361" t="str">
            <v xml:space="preserve"> Jenis Peralatan</v>
          </cell>
          <cell r="I361" t="str">
            <v>DUMP TRUCK 3 - 4 M3</v>
          </cell>
          <cell r="L361" t="str">
            <v>E 08</v>
          </cell>
        </row>
        <row r="362">
          <cell r="C362">
            <v>2</v>
          </cell>
          <cell r="D362" t="str">
            <v xml:space="preserve"> Tenaga</v>
          </cell>
          <cell r="I362" t="str">
            <v>Pw</v>
          </cell>
          <cell r="J362">
            <v>100</v>
          </cell>
          <cell r="K362" t="str">
            <v>HP</v>
          </cell>
        </row>
        <row r="363">
          <cell r="C363">
            <v>3</v>
          </cell>
          <cell r="D363" t="str">
            <v xml:space="preserve"> Kapasitas</v>
          </cell>
          <cell r="I363" t="str">
            <v>Cp</v>
          </cell>
          <cell r="J363">
            <v>6</v>
          </cell>
          <cell r="K363" t="str">
            <v>Ton</v>
          </cell>
        </row>
        <row r="364">
          <cell r="C364">
            <v>4</v>
          </cell>
          <cell r="D364" t="str">
            <v xml:space="preserve"> Alat Baru</v>
          </cell>
          <cell r="E364" t="str">
            <v>:</v>
          </cell>
          <cell r="F364" t="str">
            <v>a.</v>
          </cell>
          <cell r="G364" t="str">
            <v>Umur Ekonomis</v>
          </cell>
          <cell r="I364" t="str">
            <v>A</v>
          </cell>
          <cell r="J364">
            <v>5</v>
          </cell>
          <cell r="K364" t="str">
            <v>Tahun</v>
          </cell>
        </row>
        <row r="365">
          <cell r="F365" t="str">
            <v>b.</v>
          </cell>
          <cell r="G365" t="str">
            <v>Jam Kerja Dalam  1 Tahun</v>
          </cell>
          <cell r="I365" t="str">
            <v>W</v>
          </cell>
          <cell r="J365">
            <v>2000</v>
          </cell>
          <cell r="K365" t="str">
            <v>Jam</v>
          </cell>
        </row>
        <row r="366">
          <cell r="F366" t="str">
            <v>c.</v>
          </cell>
          <cell r="G366" t="str">
            <v>Harga Alat</v>
          </cell>
          <cell r="I366" t="str">
            <v>B</v>
          </cell>
          <cell r="J366">
            <v>160000</v>
          </cell>
          <cell r="K366" t="str">
            <v>Rupiah</v>
          </cell>
        </row>
        <row r="367">
          <cell r="C367">
            <v>5</v>
          </cell>
          <cell r="D367" t="str">
            <v xml:space="preserve"> Alat Yang Dipakai</v>
          </cell>
          <cell r="E367" t="str">
            <v>:</v>
          </cell>
          <cell r="F367" t="str">
            <v>a.</v>
          </cell>
          <cell r="G367" t="str">
            <v>Umur Ekonomis</v>
          </cell>
          <cell r="I367" t="str">
            <v>A'</v>
          </cell>
          <cell r="J367">
            <v>5</v>
          </cell>
          <cell r="K367" t="str">
            <v>Tahun</v>
          </cell>
          <cell r="L367" t="str">
            <v>Alat Baru</v>
          </cell>
        </row>
        <row r="368">
          <cell r="F368" t="str">
            <v>b.</v>
          </cell>
          <cell r="G368" t="str">
            <v>Jam Kerja Dalam  1 Tahun</v>
          </cell>
          <cell r="I368" t="str">
            <v>W'</v>
          </cell>
          <cell r="J368">
            <v>2000</v>
          </cell>
          <cell r="K368" t="str">
            <v>Jam</v>
          </cell>
          <cell r="L368" t="str">
            <v>Alat Baru</v>
          </cell>
        </row>
        <row r="369">
          <cell r="F369" t="str">
            <v>c.</v>
          </cell>
          <cell r="G369" t="str">
            <v>Harga Alat  ( * )</v>
          </cell>
          <cell r="I369" t="str">
            <v>B'</v>
          </cell>
          <cell r="J369">
            <v>160000</v>
          </cell>
          <cell r="K369" t="str">
            <v>Rupiah</v>
          </cell>
          <cell r="L369" t="str">
            <v>Alat Baru</v>
          </cell>
        </row>
        <row r="371">
          <cell r="C371" t="str">
            <v>B.</v>
          </cell>
          <cell r="D371" t="str">
            <v xml:space="preserve"> BIAYA PASTI PER JAM KERJA</v>
          </cell>
        </row>
        <row r="372">
          <cell r="C372">
            <v>1</v>
          </cell>
          <cell r="D372" t="str">
            <v xml:space="preserve"> Nilai Sisa Alat</v>
          </cell>
          <cell r="E372" t="str">
            <v>=  10 % x B</v>
          </cell>
          <cell r="I372" t="str">
            <v>C</v>
          </cell>
          <cell r="J372">
            <v>16000</v>
          </cell>
          <cell r="K372" t="str">
            <v>Rupiah</v>
          </cell>
        </row>
        <row r="373">
          <cell r="C373">
            <v>2</v>
          </cell>
          <cell r="D373" t="str">
            <v xml:space="preserve"> Faktor Angsuran Modal</v>
          </cell>
          <cell r="F373" t="str">
            <v>=</v>
          </cell>
          <cell r="G373" t="str">
            <v>i x ( 1 + i ) ^ A'</v>
          </cell>
          <cell r="I373" t="str">
            <v>D</v>
          </cell>
          <cell r="J373">
            <v>0.33437970328961514</v>
          </cell>
          <cell r="K373" t="str">
            <v>-</v>
          </cell>
        </row>
        <row r="374">
          <cell r="G374" t="str">
            <v>( 1 + i ) ^ A' - 1</v>
          </cell>
        </row>
        <row r="375">
          <cell r="C375">
            <v>3</v>
          </cell>
          <cell r="D375" t="str">
            <v xml:space="preserve"> Biaya Pasti per Jam  :</v>
          </cell>
        </row>
        <row r="376">
          <cell r="D376" t="str">
            <v xml:space="preserve"> a. Biaya Pengembalian Modal</v>
          </cell>
          <cell r="F376" t="str">
            <v>=</v>
          </cell>
          <cell r="G376" t="str">
            <v>( B' - C ) x D</v>
          </cell>
          <cell r="I376" t="str">
            <v>E</v>
          </cell>
          <cell r="J376">
            <v>24.07533863685229</v>
          </cell>
          <cell r="K376" t="str">
            <v>Rupiah</v>
          </cell>
        </row>
        <row r="377">
          <cell r="G377" t="str">
            <v>W'</v>
          </cell>
        </row>
        <row r="378">
          <cell r="D378" t="str">
            <v xml:space="preserve"> b. Asuransi, dll</v>
          </cell>
          <cell r="E378" t="str">
            <v>=</v>
          </cell>
          <cell r="G378" t="str">
            <v>0,002 x B'</v>
          </cell>
          <cell r="I378" t="str">
            <v>F</v>
          </cell>
          <cell r="J378">
            <v>0.16</v>
          </cell>
          <cell r="K378" t="str">
            <v>Rupiah</v>
          </cell>
        </row>
        <row r="379">
          <cell r="G379" t="str">
            <v>W'</v>
          </cell>
        </row>
        <row r="380">
          <cell r="D380" t="str">
            <v xml:space="preserve"> Biaya Pasti per Jam</v>
          </cell>
          <cell r="E380" t="str">
            <v>=</v>
          </cell>
          <cell r="G380" t="str">
            <v>( E + F )</v>
          </cell>
          <cell r="I380" t="str">
            <v>G</v>
          </cell>
          <cell r="J380">
            <v>24.235338636852291</v>
          </cell>
          <cell r="K380" t="str">
            <v>Rupiah</v>
          </cell>
        </row>
        <row r="382">
          <cell r="C382" t="str">
            <v>C.</v>
          </cell>
          <cell r="D382" t="str">
            <v xml:space="preserve"> BIAYA OPERASI PER JAM KERJA</v>
          </cell>
        </row>
        <row r="383">
          <cell r="C383">
            <v>1</v>
          </cell>
          <cell r="D383" t="str">
            <v xml:space="preserve"> Bahan Bakar </v>
          </cell>
          <cell r="E383" t="str">
            <v>=</v>
          </cell>
          <cell r="F383" t="str">
            <v>(0,125 - 0,175 Ltr/HP/Jam) x Pw x Ms</v>
          </cell>
          <cell r="I383" t="str">
            <v>H</v>
          </cell>
          <cell r="J383">
            <v>53750</v>
          </cell>
          <cell r="K383" t="str">
            <v>Rupiah</v>
          </cell>
        </row>
        <row r="384">
          <cell r="C384">
            <v>2</v>
          </cell>
          <cell r="D384" t="str">
            <v xml:space="preserve"> Pelumas</v>
          </cell>
          <cell r="E384" t="str">
            <v>=</v>
          </cell>
          <cell r="F384" t="str">
            <v>(0,01 - 0,02 Ltr/HP/Jam) x Pw x Mp</v>
          </cell>
          <cell r="I384" t="str">
            <v>I</v>
          </cell>
          <cell r="J384">
            <v>30000</v>
          </cell>
          <cell r="K384" t="str">
            <v>Rupiah</v>
          </cell>
        </row>
        <row r="385">
          <cell r="C385">
            <v>3</v>
          </cell>
          <cell r="D385" t="str">
            <v xml:space="preserve"> Perawatan dan Perbaikan</v>
          </cell>
          <cell r="F385" t="str">
            <v>=</v>
          </cell>
          <cell r="G385" t="str">
            <v xml:space="preserve"> ( 12,5 % - 17,5 % ) x B'</v>
          </cell>
          <cell r="I385" t="str">
            <v>K</v>
          </cell>
          <cell r="J385">
            <v>10</v>
          </cell>
          <cell r="K385" t="str">
            <v>Rupiah</v>
          </cell>
        </row>
        <row r="386">
          <cell r="G386" t="str">
            <v xml:space="preserve"> W'</v>
          </cell>
        </row>
        <row r="387">
          <cell r="C387">
            <v>4</v>
          </cell>
          <cell r="D387" t="str">
            <v xml:space="preserve"> Operator</v>
          </cell>
          <cell r="E387" t="str">
            <v>=</v>
          </cell>
          <cell r="F387" t="str">
            <v>( 1 Orang / Jam ) x U1</v>
          </cell>
          <cell r="I387" t="str">
            <v>L</v>
          </cell>
          <cell r="J387">
            <v>10750</v>
          </cell>
          <cell r="K387" t="str">
            <v>Rupiah</v>
          </cell>
        </row>
        <row r="388">
          <cell r="C388">
            <v>5</v>
          </cell>
          <cell r="D388" t="str">
            <v xml:space="preserve"> Pembantu Operator</v>
          </cell>
          <cell r="E388" t="str">
            <v>=</v>
          </cell>
          <cell r="F388" t="str">
            <v>( 1 Orang / Jam ) x U2</v>
          </cell>
          <cell r="I388" t="str">
            <v>M</v>
          </cell>
          <cell r="J388">
            <v>4500</v>
          </cell>
          <cell r="K388" t="str">
            <v>Rupiah</v>
          </cell>
        </row>
        <row r="389">
          <cell r="D389" t="str">
            <v xml:space="preserve"> Biaya Operasi Per Jam </v>
          </cell>
          <cell r="F389" t="str">
            <v>=</v>
          </cell>
          <cell r="G389" t="str">
            <v xml:space="preserve"> ( H + I + K + L + M )</v>
          </cell>
          <cell r="I389" t="str">
            <v>P</v>
          </cell>
          <cell r="J389">
            <v>99010</v>
          </cell>
          <cell r="K389" t="str">
            <v>Rupiah</v>
          </cell>
        </row>
        <row r="391">
          <cell r="C391" t="str">
            <v>D.</v>
          </cell>
          <cell r="D391" t="str">
            <v xml:space="preserve"> TOTAL BIAYA SEWA ALAT / JAM   =   ( G + P )</v>
          </cell>
          <cell r="I391" t="str">
            <v>S</v>
          </cell>
          <cell r="J391">
            <v>99034.235338636849</v>
          </cell>
          <cell r="K391" t="str">
            <v>Rupiah</v>
          </cell>
        </row>
        <row r="393">
          <cell r="C393" t="str">
            <v>E.</v>
          </cell>
          <cell r="D393" t="str">
            <v xml:space="preserve"> LAIN - LAIN</v>
          </cell>
        </row>
        <row r="394">
          <cell r="C394">
            <v>1</v>
          </cell>
          <cell r="D394" t="str">
            <v xml:space="preserve"> Tingkat Suku Bunga</v>
          </cell>
          <cell r="I394" t="str">
            <v>i</v>
          </cell>
          <cell r="J394">
            <v>20</v>
          </cell>
          <cell r="K394" t="str">
            <v>% / Tahun</v>
          </cell>
        </row>
        <row r="395">
          <cell r="C395">
            <v>2</v>
          </cell>
          <cell r="D395" t="str">
            <v xml:space="preserve"> Upah Operator / Sopir</v>
          </cell>
          <cell r="I395" t="str">
            <v>U1</v>
          </cell>
          <cell r="J395">
            <v>10750</v>
          </cell>
          <cell r="K395" t="str">
            <v>Rp. / Jam</v>
          </cell>
        </row>
        <row r="396">
          <cell r="C396">
            <v>3</v>
          </cell>
          <cell r="D396" t="str">
            <v xml:space="preserve"> Upah Pembantu Operator / Pembantu Sopir</v>
          </cell>
          <cell r="I396" t="str">
            <v>U2</v>
          </cell>
          <cell r="J396">
            <v>4500</v>
          </cell>
          <cell r="K396" t="str">
            <v>Rp. / Jam</v>
          </cell>
        </row>
        <row r="397">
          <cell r="C397">
            <v>4</v>
          </cell>
          <cell r="D397" t="str">
            <v xml:space="preserve"> Bahan Bakar Bensin</v>
          </cell>
          <cell r="I397" t="str">
            <v>Mb</v>
          </cell>
          <cell r="J397">
            <v>4500</v>
          </cell>
          <cell r="K397" t="str">
            <v>Liter</v>
          </cell>
        </row>
        <row r="398">
          <cell r="C398">
            <v>5</v>
          </cell>
          <cell r="D398" t="str">
            <v xml:space="preserve"> Bahan Bakar Solar</v>
          </cell>
          <cell r="I398" t="str">
            <v>Ms</v>
          </cell>
          <cell r="J398">
            <v>4300</v>
          </cell>
          <cell r="K398" t="str">
            <v>Liter</v>
          </cell>
        </row>
        <row r="399">
          <cell r="C399">
            <v>6</v>
          </cell>
          <cell r="D399" t="str">
            <v xml:space="preserve"> Minyak Pelumas</v>
          </cell>
          <cell r="I399" t="str">
            <v>Mp</v>
          </cell>
          <cell r="J399">
            <v>30000</v>
          </cell>
          <cell r="K399" t="str">
            <v>Liter</v>
          </cell>
        </row>
        <row r="400">
          <cell r="C400">
            <v>7</v>
          </cell>
          <cell r="D400" t="str">
            <v xml:space="preserve"> PPN diperhitungkan pada lembar Rekapitulasi Biaya Pekerjaan</v>
          </cell>
        </row>
        <row r="404">
          <cell r="C404" t="str">
            <v>JENIS ALAT</v>
          </cell>
          <cell r="E404" t="str">
            <v>:</v>
          </cell>
          <cell r="F404" t="str">
            <v>DUMP TRUCK</v>
          </cell>
        </row>
        <row r="405">
          <cell r="C405" t="str">
            <v>PERUSAHAAN</v>
          </cell>
          <cell r="E405" t="str">
            <v>:</v>
          </cell>
          <cell r="F405" t="str">
            <v>NAD / ACEH TENGAH</v>
          </cell>
        </row>
        <row r="407">
          <cell r="C407" t="str">
            <v>No.</v>
          </cell>
          <cell r="D407" t="str">
            <v>URAIAN</v>
          </cell>
          <cell r="I407" t="str">
            <v>KODE</v>
          </cell>
          <cell r="J407" t="str">
            <v>KOEF.</v>
          </cell>
          <cell r="K407" t="str">
            <v>SATUAN</v>
          </cell>
          <cell r="L407" t="str">
            <v>KET.</v>
          </cell>
        </row>
        <row r="409">
          <cell r="C409" t="str">
            <v>A.</v>
          </cell>
          <cell r="D409" t="str">
            <v xml:space="preserve"> URAIAN PERALATAN</v>
          </cell>
        </row>
        <row r="410">
          <cell r="C410">
            <v>1</v>
          </cell>
          <cell r="D410" t="str">
            <v xml:space="preserve"> Jenis Peralatan</v>
          </cell>
          <cell r="I410" t="str">
            <v>DUMP TRUCK</v>
          </cell>
          <cell r="L410" t="str">
            <v>E 09</v>
          </cell>
        </row>
        <row r="411">
          <cell r="C411">
            <v>2</v>
          </cell>
          <cell r="D411" t="str">
            <v xml:space="preserve"> Tenaga</v>
          </cell>
          <cell r="I411" t="str">
            <v>Pw</v>
          </cell>
          <cell r="J411">
            <v>125</v>
          </cell>
          <cell r="K411" t="str">
            <v>HP</v>
          </cell>
        </row>
        <row r="412">
          <cell r="C412">
            <v>3</v>
          </cell>
          <cell r="D412" t="str">
            <v xml:space="preserve"> Kapasitas</v>
          </cell>
          <cell r="I412" t="str">
            <v>Cp</v>
          </cell>
          <cell r="J412">
            <v>8</v>
          </cell>
          <cell r="K412" t="str">
            <v>Ton</v>
          </cell>
        </row>
        <row r="413">
          <cell r="C413">
            <v>4</v>
          </cell>
          <cell r="D413" t="str">
            <v xml:space="preserve"> Alat Baru</v>
          </cell>
          <cell r="E413" t="str">
            <v>:</v>
          </cell>
          <cell r="F413" t="str">
            <v>a.</v>
          </cell>
          <cell r="G413" t="str">
            <v>Umur Ekonomis</v>
          </cell>
          <cell r="I413" t="str">
            <v>A</v>
          </cell>
          <cell r="J413">
            <v>5</v>
          </cell>
          <cell r="K413" t="str">
            <v>Tahun</v>
          </cell>
        </row>
        <row r="414">
          <cell r="F414" t="str">
            <v>b.</v>
          </cell>
          <cell r="G414" t="str">
            <v>Jam Kerja Dalam  1 Tahun</v>
          </cell>
          <cell r="I414" t="str">
            <v>W</v>
          </cell>
          <cell r="J414">
            <v>2000</v>
          </cell>
          <cell r="K414" t="str">
            <v>Jam</v>
          </cell>
        </row>
        <row r="415">
          <cell r="F415" t="str">
            <v>c.</v>
          </cell>
          <cell r="G415" t="str">
            <v>Harga Alat</v>
          </cell>
          <cell r="I415" t="str">
            <v>B</v>
          </cell>
          <cell r="J415">
            <v>230000000</v>
          </cell>
          <cell r="K415" t="str">
            <v>Rupiah</v>
          </cell>
        </row>
        <row r="416">
          <cell r="C416">
            <v>5</v>
          </cell>
          <cell r="D416" t="str">
            <v xml:space="preserve"> Alat Yang Dipakai</v>
          </cell>
          <cell r="E416" t="str">
            <v>:</v>
          </cell>
          <cell r="F416" t="str">
            <v>a.</v>
          </cell>
          <cell r="G416" t="str">
            <v>Umur Ekonomis</v>
          </cell>
          <cell r="I416" t="str">
            <v>A'</v>
          </cell>
          <cell r="J416">
            <v>5</v>
          </cell>
          <cell r="K416" t="str">
            <v>Tahun</v>
          </cell>
          <cell r="L416" t="str">
            <v>Alat Baru</v>
          </cell>
        </row>
        <row r="417">
          <cell r="F417" t="str">
            <v>b.</v>
          </cell>
          <cell r="G417" t="str">
            <v>Jam Kerja Dalam  1 Tahun</v>
          </cell>
          <cell r="I417" t="str">
            <v>W'</v>
          </cell>
          <cell r="J417">
            <v>2000</v>
          </cell>
          <cell r="K417" t="str">
            <v>Jam</v>
          </cell>
          <cell r="L417" t="str">
            <v>Alat Baru</v>
          </cell>
        </row>
        <row r="418">
          <cell r="F418" t="str">
            <v>c.</v>
          </cell>
          <cell r="G418" t="str">
            <v>Harga Alat  ( * )</v>
          </cell>
          <cell r="I418" t="str">
            <v>B'</v>
          </cell>
          <cell r="J418">
            <v>230000000</v>
          </cell>
          <cell r="K418" t="str">
            <v>Rupiah</v>
          </cell>
          <cell r="L418" t="str">
            <v>Alat Baru</v>
          </cell>
        </row>
        <row r="420">
          <cell r="C420" t="str">
            <v>B.</v>
          </cell>
          <cell r="D420" t="str">
            <v xml:space="preserve"> BIAYA PASTI PER JAM KERJA</v>
          </cell>
        </row>
        <row r="421">
          <cell r="C421">
            <v>1</v>
          </cell>
          <cell r="D421" t="str">
            <v xml:space="preserve"> Nilai Sisa Alat</v>
          </cell>
          <cell r="E421" t="str">
            <v>=  10 % x B</v>
          </cell>
          <cell r="I421" t="str">
            <v>C</v>
          </cell>
          <cell r="J421">
            <v>23000000</v>
          </cell>
          <cell r="K421" t="str">
            <v>Rupiah</v>
          </cell>
        </row>
        <row r="423">
          <cell r="C423">
            <v>2</v>
          </cell>
          <cell r="D423" t="str">
            <v xml:space="preserve"> Faktor Angsuran Modal</v>
          </cell>
          <cell r="F423" t="str">
            <v>=</v>
          </cell>
          <cell r="G423" t="str">
            <v>i x ( 1 + i ) ^ A'</v>
          </cell>
          <cell r="I423" t="str">
            <v>D</v>
          </cell>
          <cell r="J423">
            <v>0.33437970328961514</v>
          </cell>
          <cell r="K423" t="str">
            <v>-</v>
          </cell>
        </row>
        <row r="424">
          <cell r="G424" t="str">
            <v>( 1 + i ) ^ A' - 1</v>
          </cell>
        </row>
        <row r="425">
          <cell r="C425">
            <v>3</v>
          </cell>
          <cell r="D425" t="str">
            <v xml:space="preserve"> Biaya Pasti per Jam  :</v>
          </cell>
        </row>
        <row r="426">
          <cell r="D426" t="str">
            <v xml:space="preserve"> a. Biaya Pengembalian Modal</v>
          </cell>
          <cell r="F426" t="str">
            <v>=</v>
          </cell>
          <cell r="G426" t="str">
            <v>( B' - C ) x D</v>
          </cell>
          <cell r="I426" t="str">
            <v>E</v>
          </cell>
          <cell r="J426">
            <v>34608.299290475166</v>
          </cell>
          <cell r="K426" t="str">
            <v>Rupiah</v>
          </cell>
        </row>
        <row r="427">
          <cell r="G427" t="str">
            <v>W'</v>
          </cell>
        </row>
        <row r="428">
          <cell r="D428" t="str">
            <v xml:space="preserve"> b. Asuransi, dll</v>
          </cell>
          <cell r="E428" t="str">
            <v>=</v>
          </cell>
          <cell r="G428" t="str">
            <v>0,002 x B'</v>
          </cell>
          <cell r="I428" t="str">
            <v>F</v>
          </cell>
          <cell r="J428">
            <v>230</v>
          </cell>
          <cell r="K428" t="str">
            <v>Rupiah</v>
          </cell>
        </row>
        <row r="429">
          <cell r="G429" t="str">
            <v>W'</v>
          </cell>
        </row>
        <row r="430">
          <cell r="D430" t="str">
            <v xml:space="preserve"> Biaya Pasti per Jam</v>
          </cell>
          <cell r="E430" t="str">
            <v>=</v>
          </cell>
          <cell r="G430" t="str">
            <v>( E + F )</v>
          </cell>
          <cell r="I430" t="str">
            <v>G</v>
          </cell>
          <cell r="J430">
            <v>34838.299290475166</v>
          </cell>
          <cell r="K430" t="str">
            <v>Rupiah</v>
          </cell>
        </row>
        <row r="432">
          <cell r="C432" t="str">
            <v>C.</v>
          </cell>
          <cell r="D432" t="str">
            <v xml:space="preserve"> BIAYA OPERASI PER JAM KERJA</v>
          </cell>
        </row>
        <row r="433">
          <cell r="C433">
            <v>1</v>
          </cell>
          <cell r="D433" t="str">
            <v xml:space="preserve"> Bahan Bakar </v>
          </cell>
          <cell r="E433" t="str">
            <v>=</v>
          </cell>
          <cell r="F433" t="str">
            <v>(0,125 - 0,175 Ltr/HP/Jam) x Pw x Ms</v>
          </cell>
          <cell r="I433" t="str">
            <v>H</v>
          </cell>
          <cell r="J433">
            <v>67187.5</v>
          </cell>
          <cell r="K433" t="str">
            <v>Rupiah</v>
          </cell>
        </row>
        <row r="434">
          <cell r="C434">
            <v>2</v>
          </cell>
          <cell r="D434" t="str">
            <v xml:space="preserve"> Pelumas</v>
          </cell>
          <cell r="E434" t="str">
            <v>=</v>
          </cell>
          <cell r="F434" t="str">
            <v>(0,01 - 0,02 Ltr/HP/Jam) x Pw x Mp</v>
          </cell>
          <cell r="I434" t="str">
            <v>I</v>
          </cell>
          <cell r="J434">
            <v>37500</v>
          </cell>
          <cell r="K434" t="str">
            <v>Rupiah</v>
          </cell>
        </row>
        <row r="435">
          <cell r="C435">
            <v>3</v>
          </cell>
          <cell r="D435" t="str">
            <v xml:space="preserve"> Perawatan dan Perbaikan</v>
          </cell>
          <cell r="F435" t="str">
            <v>=</v>
          </cell>
          <cell r="G435" t="str">
            <v xml:space="preserve"> ( 12,5 % - 17,5 % ) x B'</v>
          </cell>
          <cell r="I435" t="str">
            <v>K</v>
          </cell>
          <cell r="J435">
            <v>14375</v>
          </cell>
          <cell r="K435" t="str">
            <v>Rupiah</v>
          </cell>
        </row>
        <row r="436">
          <cell r="G436" t="str">
            <v xml:space="preserve"> W'</v>
          </cell>
        </row>
        <row r="437">
          <cell r="C437">
            <v>4</v>
          </cell>
          <cell r="D437" t="str">
            <v xml:space="preserve"> Operator</v>
          </cell>
          <cell r="E437" t="str">
            <v>=</v>
          </cell>
          <cell r="F437" t="str">
            <v>( 1 Orang / Jam ) x U1</v>
          </cell>
          <cell r="I437" t="str">
            <v>L</v>
          </cell>
          <cell r="J437">
            <v>10750</v>
          </cell>
          <cell r="K437" t="str">
            <v>Rupiah</v>
          </cell>
        </row>
        <row r="438">
          <cell r="C438">
            <v>5</v>
          </cell>
          <cell r="D438" t="str">
            <v xml:space="preserve"> Pembantu Operator</v>
          </cell>
          <cell r="E438" t="str">
            <v>=</v>
          </cell>
          <cell r="F438" t="str">
            <v>( 1 Orang / Jam ) x U2</v>
          </cell>
          <cell r="I438" t="str">
            <v>M</v>
          </cell>
          <cell r="J438">
            <v>4500</v>
          </cell>
          <cell r="K438" t="str">
            <v>Rupiah</v>
          </cell>
        </row>
        <row r="439">
          <cell r="D439" t="str">
            <v xml:space="preserve"> Biaya Operasi Per Jam </v>
          </cell>
          <cell r="F439" t="str">
            <v>=</v>
          </cell>
          <cell r="G439" t="str">
            <v xml:space="preserve"> ( H + I + K + L + M )</v>
          </cell>
          <cell r="I439" t="str">
            <v>P</v>
          </cell>
          <cell r="J439">
            <v>134312.5</v>
          </cell>
          <cell r="K439" t="str">
            <v>Rupiah</v>
          </cell>
        </row>
        <row r="441">
          <cell r="C441" t="str">
            <v>D.</v>
          </cell>
          <cell r="D441" t="str">
            <v xml:space="preserve"> TOTAL BIAYA SEWA ALAT / JAM   =   ( G + P )</v>
          </cell>
          <cell r="I441" t="str">
            <v>S</v>
          </cell>
          <cell r="J441">
            <v>169150.79929047517</v>
          </cell>
          <cell r="K441" t="str">
            <v>Rupiah</v>
          </cell>
        </row>
        <row r="443">
          <cell r="C443" t="str">
            <v>E.</v>
          </cell>
          <cell r="D443" t="str">
            <v xml:space="preserve"> LAIN - LAIN</v>
          </cell>
        </row>
        <row r="444">
          <cell r="C444">
            <v>1</v>
          </cell>
          <cell r="D444" t="str">
            <v xml:space="preserve"> Tingkat Suku Bunga</v>
          </cell>
          <cell r="I444" t="str">
            <v>i</v>
          </cell>
          <cell r="J444">
            <v>20</v>
          </cell>
          <cell r="K444" t="str">
            <v>% / Tahun</v>
          </cell>
        </row>
        <row r="445">
          <cell r="C445">
            <v>2</v>
          </cell>
          <cell r="D445" t="str">
            <v xml:space="preserve"> Upah Operator / Sopir</v>
          </cell>
          <cell r="I445" t="str">
            <v>U1</v>
          </cell>
          <cell r="J445">
            <v>10750</v>
          </cell>
          <cell r="K445" t="str">
            <v>Rp. / Jam</v>
          </cell>
        </row>
        <row r="446">
          <cell r="C446">
            <v>3</v>
          </cell>
          <cell r="D446" t="str">
            <v xml:space="preserve"> Upah Pembantu Operator / Pembantu Sopir</v>
          </cell>
          <cell r="I446" t="str">
            <v>U2</v>
          </cell>
          <cell r="J446">
            <v>4500</v>
          </cell>
          <cell r="K446" t="str">
            <v>Rp. / Jam</v>
          </cell>
        </row>
        <row r="447">
          <cell r="C447">
            <v>4</v>
          </cell>
          <cell r="D447" t="str">
            <v xml:space="preserve"> Bahan Bakar Bensin</v>
          </cell>
          <cell r="I447" t="str">
            <v>Mb</v>
          </cell>
          <cell r="J447">
            <v>4500</v>
          </cell>
          <cell r="K447" t="str">
            <v>Liter</v>
          </cell>
        </row>
        <row r="448">
          <cell r="C448">
            <v>5</v>
          </cell>
          <cell r="D448" t="str">
            <v xml:space="preserve"> Bahan Bakar Solar</v>
          </cell>
          <cell r="I448" t="str">
            <v>Ms</v>
          </cell>
          <cell r="J448">
            <v>4300</v>
          </cell>
          <cell r="K448" t="str">
            <v>Liter</v>
          </cell>
        </row>
        <row r="449">
          <cell r="C449">
            <v>6</v>
          </cell>
          <cell r="D449" t="str">
            <v xml:space="preserve"> Minyak Pelumas</v>
          </cell>
          <cell r="I449" t="str">
            <v>Mp</v>
          </cell>
          <cell r="J449">
            <v>30000</v>
          </cell>
          <cell r="K449" t="str">
            <v>Liter</v>
          </cell>
        </row>
        <row r="450">
          <cell r="C450">
            <v>7</v>
          </cell>
          <cell r="D450" t="str">
            <v xml:space="preserve"> PPN diperhitungkan pada lembar Rekapitulasi Biaya Pekerjaan</v>
          </cell>
        </row>
        <row r="459">
          <cell r="C459" t="str">
            <v>JENIS ALAT</v>
          </cell>
          <cell r="E459" t="str">
            <v>:</v>
          </cell>
          <cell r="F459" t="str">
            <v>DUMP TRUCK TRONTON</v>
          </cell>
        </row>
        <row r="460">
          <cell r="C460" t="str">
            <v>PERUSAHAAN</v>
          </cell>
          <cell r="E460" t="str">
            <v>:</v>
          </cell>
          <cell r="F460" t="str">
            <v>NAD / ACEH TENGAH</v>
          </cell>
        </row>
        <row r="462">
          <cell r="C462" t="str">
            <v>No.</v>
          </cell>
          <cell r="D462" t="str">
            <v>URAIAN</v>
          </cell>
          <cell r="I462" t="str">
            <v>KODE</v>
          </cell>
          <cell r="J462" t="str">
            <v>KOEF.</v>
          </cell>
          <cell r="K462" t="str">
            <v>SATUAN</v>
          </cell>
          <cell r="L462" t="str">
            <v>KET.</v>
          </cell>
        </row>
        <row r="464">
          <cell r="C464" t="str">
            <v>A.</v>
          </cell>
          <cell r="D464" t="str">
            <v xml:space="preserve"> URAIAN PERALATAN</v>
          </cell>
        </row>
        <row r="465">
          <cell r="C465">
            <v>1</v>
          </cell>
          <cell r="D465" t="str">
            <v xml:space="preserve"> Jenis Peralatan</v>
          </cell>
          <cell r="I465" t="str">
            <v>DUMP TRUCK TRONTON</v>
          </cell>
          <cell r="L465" t="str">
            <v>E 09a</v>
          </cell>
        </row>
        <row r="466">
          <cell r="C466">
            <v>2</v>
          </cell>
          <cell r="D466" t="str">
            <v xml:space="preserve"> Tenaga</v>
          </cell>
          <cell r="I466" t="str">
            <v>Pw</v>
          </cell>
          <cell r="J466">
            <v>150</v>
          </cell>
          <cell r="K466" t="str">
            <v>HP</v>
          </cell>
        </row>
        <row r="467">
          <cell r="C467">
            <v>3</v>
          </cell>
          <cell r="D467" t="str">
            <v xml:space="preserve"> Kapasitas</v>
          </cell>
          <cell r="I467" t="str">
            <v>Cp</v>
          </cell>
          <cell r="J467">
            <v>20</v>
          </cell>
          <cell r="K467" t="str">
            <v>Ton</v>
          </cell>
        </row>
        <row r="468">
          <cell r="C468">
            <v>4</v>
          </cell>
          <cell r="D468" t="str">
            <v xml:space="preserve"> Alat Baru</v>
          </cell>
          <cell r="E468" t="str">
            <v>:</v>
          </cell>
          <cell r="F468" t="str">
            <v>a.</v>
          </cell>
          <cell r="G468" t="str">
            <v>Umur Ekonomis</v>
          </cell>
          <cell r="I468" t="str">
            <v>A</v>
          </cell>
          <cell r="J468">
            <v>5</v>
          </cell>
          <cell r="K468" t="str">
            <v>Tahun</v>
          </cell>
        </row>
        <row r="469">
          <cell r="F469" t="str">
            <v>b.</v>
          </cell>
          <cell r="G469" t="str">
            <v>Jam Kerja Dalam  1 Tahun</v>
          </cell>
          <cell r="I469" t="str">
            <v>W</v>
          </cell>
          <cell r="J469">
            <v>2000</v>
          </cell>
          <cell r="K469" t="str">
            <v>Jam</v>
          </cell>
        </row>
        <row r="470">
          <cell r="F470" t="str">
            <v>c.</v>
          </cell>
          <cell r="G470" t="str">
            <v>Harga Alat</v>
          </cell>
          <cell r="I470" t="str">
            <v>B</v>
          </cell>
          <cell r="J470">
            <v>275000000</v>
          </cell>
          <cell r="K470" t="str">
            <v>Rupiah</v>
          </cell>
        </row>
        <row r="471">
          <cell r="C471">
            <v>5</v>
          </cell>
          <cell r="D471" t="str">
            <v xml:space="preserve"> Alat Yang Dipakai</v>
          </cell>
          <cell r="E471" t="str">
            <v>:</v>
          </cell>
          <cell r="F471" t="str">
            <v>a.</v>
          </cell>
          <cell r="G471" t="str">
            <v>Umur Ekonomis</v>
          </cell>
          <cell r="I471" t="str">
            <v>A'</v>
          </cell>
          <cell r="J471">
            <v>5</v>
          </cell>
          <cell r="K471" t="str">
            <v>Tahun</v>
          </cell>
          <cell r="L471" t="str">
            <v>Alat Baru</v>
          </cell>
        </row>
        <row r="472">
          <cell r="F472" t="str">
            <v>b.</v>
          </cell>
          <cell r="G472" t="str">
            <v>Jam Kerja Dalam  1 Tahun</v>
          </cell>
          <cell r="I472" t="str">
            <v>W'</v>
          </cell>
          <cell r="J472">
            <v>2000</v>
          </cell>
          <cell r="K472" t="str">
            <v>Jam</v>
          </cell>
          <cell r="L472" t="str">
            <v>Alat Baru</v>
          </cell>
        </row>
        <row r="473">
          <cell r="F473" t="str">
            <v>c.</v>
          </cell>
          <cell r="G473" t="str">
            <v>Harga Alat  ( * )</v>
          </cell>
          <cell r="I473" t="str">
            <v>B'</v>
          </cell>
          <cell r="J473">
            <v>275000000</v>
          </cell>
          <cell r="K473" t="str">
            <v>Rupiah</v>
          </cell>
          <cell r="L473" t="str">
            <v>Alat Baru</v>
          </cell>
        </row>
        <row r="475">
          <cell r="C475" t="str">
            <v>B.</v>
          </cell>
          <cell r="D475" t="str">
            <v xml:space="preserve"> BIAYA PASTI PER JAM KERJA</v>
          </cell>
        </row>
        <row r="476">
          <cell r="C476">
            <v>1</v>
          </cell>
          <cell r="D476" t="str">
            <v xml:space="preserve"> Nilai Sisa Alat</v>
          </cell>
          <cell r="E476" t="str">
            <v>=  10 % x B</v>
          </cell>
          <cell r="I476" t="str">
            <v>C</v>
          </cell>
          <cell r="J476">
            <v>23000000</v>
          </cell>
          <cell r="K476" t="str">
            <v>Rupiah</v>
          </cell>
        </row>
        <row r="478">
          <cell r="C478">
            <v>2</v>
          </cell>
          <cell r="D478" t="str">
            <v xml:space="preserve"> Faktor Angsuran Modal</v>
          </cell>
          <cell r="F478" t="str">
            <v>=</v>
          </cell>
          <cell r="G478" t="str">
            <v>i x ( 1 + i ) ^ A'</v>
          </cell>
          <cell r="I478" t="str">
            <v>D</v>
          </cell>
          <cell r="J478">
            <v>0.33437970328961514</v>
          </cell>
          <cell r="K478" t="str">
            <v>-</v>
          </cell>
        </row>
        <row r="479">
          <cell r="G479" t="str">
            <v>( 1 + i ) ^ A' - 1</v>
          </cell>
        </row>
        <row r="480">
          <cell r="C480">
            <v>3</v>
          </cell>
          <cell r="D480" t="str">
            <v xml:space="preserve"> Biaya Pasti per Jam  :</v>
          </cell>
        </row>
        <row r="481">
          <cell r="D481" t="str">
            <v xml:space="preserve"> a. Biaya Pengembalian Modal</v>
          </cell>
          <cell r="F481" t="str">
            <v>=</v>
          </cell>
          <cell r="G481" t="str">
            <v>( B' - C ) x D</v>
          </cell>
          <cell r="I481" t="str">
            <v>E</v>
          </cell>
          <cell r="J481">
            <v>42131.842614491507</v>
          </cell>
          <cell r="K481" t="str">
            <v>Rupiah</v>
          </cell>
        </row>
        <row r="482">
          <cell r="G482" t="str">
            <v>W'</v>
          </cell>
        </row>
        <row r="483">
          <cell r="D483" t="str">
            <v xml:space="preserve"> b. Asuransi, dll</v>
          </cell>
          <cell r="E483" t="str">
            <v>=</v>
          </cell>
          <cell r="G483" t="str">
            <v>0,002 x B'</v>
          </cell>
          <cell r="I483" t="str">
            <v>F</v>
          </cell>
          <cell r="J483">
            <v>275</v>
          </cell>
          <cell r="K483" t="str">
            <v>Rupiah</v>
          </cell>
        </row>
        <row r="484">
          <cell r="G484" t="str">
            <v>W'</v>
          </cell>
        </row>
        <row r="485">
          <cell r="D485" t="str">
            <v xml:space="preserve"> Biaya Pasti per Jam</v>
          </cell>
          <cell r="E485" t="str">
            <v>=</v>
          </cell>
          <cell r="G485" t="str">
            <v>( E + F )</v>
          </cell>
          <cell r="I485" t="str">
            <v>G</v>
          </cell>
          <cell r="J485">
            <v>42406.842614491507</v>
          </cell>
          <cell r="K485" t="str">
            <v>Rupiah</v>
          </cell>
        </row>
        <row r="487">
          <cell r="C487" t="str">
            <v>C.</v>
          </cell>
          <cell r="D487" t="str">
            <v xml:space="preserve"> BIAYA OPERASI PER JAM KERJA</v>
          </cell>
        </row>
        <row r="488">
          <cell r="C488">
            <v>1</v>
          </cell>
          <cell r="D488" t="str">
            <v xml:space="preserve"> Bahan Bakar </v>
          </cell>
          <cell r="E488" t="str">
            <v>=</v>
          </cell>
          <cell r="F488" t="str">
            <v>(0,125 - 0,175 Ltr/HP/Jam) x Pw x Ms</v>
          </cell>
          <cell r="I488" t="str">
            <v>H</v>
          </cell>
          <cell r="J488">
            <v>80625</v>
          </cell>
          <cell r="K488" t="str">
            <v>Rupiah</v>
          </cell>
        </row>
        <row r="489">
          <cell r="C489">
            <v>2</v>
          </cell>
          <cell r="D489" t="str">
            <v xml:space="preserve"> Pelumas</v>
          </cell>
          <cell r="E489" t="str">
            <v>=</v>
          </cell>
          <cell r="F489" t="str">
            <v>(0,01 - 0,02 Ltr/HP/Jam) x Pw x Mp</v>
          </cell>
          <cell r="I489" t="str">
            <v>I</v>
          </cell>
          <cell r="J489">
            <v>45000</v>
          </cell>
          <cell r="K489" t="str">
            <v>Rupiah</v>
          </cell>
        </row>
        <row r="490">
          <cell r="C490">
            <v>3</v>
          </cell>
          <cell r="D490" t="str">
            <v xml:space="preserve"> Perawatan dan Perbaikan</v>
          </cell>
          <cell r="F490" t="str">
            <v>=</v>
          </cell>
          <cell r="G490" t="str">
            <v xml:space="preserve"> ( 12,5 % - 17,5 % ) x B'</v>
          </cell>
          <cell r="I490" t="str">
            <v>K</v>
          </cell>
          <cell r="J490">
            <v>17187.5</v>
          </cell>
          <cell r="K490" t="str">
            <v>Rupiah</v>
          </cell>
        </row>
        <row r="491">
          <cell r="G491" t="str">
            <v xml:space="preserve"> W'</v>
          </cell>
        </row>
        <row r="492">
          <cell r="C492">
            <v>4</v>
          </cell>
          <cell r="D492" t="str">
            <v xml:space="preserve"> Operator</v>
          </cell>
          <cell r="E492" t="str">
            <v>=</v>
          </cell>
          <cell r="F492" t="str">
            <v>( 1 Orang / Jam ) x U1</v>
          </cell>
          <cell r="I492" t="str">
            <v>L</v>
          </cell>
          <cell r="J492">
            <v>10750</v>
          </cell>
          <cell r="K492" t="str">
            <v>Rupiah</v>
          </cell>
        </row>
        <row r="493">
          <cell r="C493">
            <v>5</v>
          </cell>
          <cell r="D493" t="str">
            <v xml:space="preserve"> Pembantu Operator</v>
          </cell>
          <cell r="E493" t="str">
            <v>=</v>
          </cell>
          <cell r="F493" t="str">
            <v>( 1 Orang / Jam ) x U2</v>
          </cell>
          <cell r="I493" t="str">
            <v>M</v>
          </cell>
          <cell r="J493">
            <v>4500</v>
          </cell>
          <cell r="K493" t="str">
            <v>Rupiah</v>
          </cell>
        </row>
        <row r="494">
          <cell r="D494" t="str">
            <v xml:space="preserve"> Biaya Operasi Per Jam </v>
          </cell>
          <cell r="F494" t="str">
            <v>=</v>
          </cell>
          <cell r="G494" t="str">
            <v xml:space="preserve"> ( H + I + K + L + M )</v>
          </cell>
          <cell r="I494" t="str">
            <v>P</v>
          </cell>
          <cell r="J494">
            <v>158062.5</v>
          </cell>
          <cell r="K494" t="str">
            <v>Rupiah</v>
          </cell>
        </row>
        <row r="496">
          <cell r="C496" t="str">
            <v>D.</v>
          </cell>
          <cell r="D496" t="str">
            <v xml:space="preserve"> TOTAL BIAYA SEWA ALAT / JAM   =   ( G + P )</v>
          </cell>
          <cell r="I496" t="str">
            <v>S</v>
          </cell>
          <cell r="J496">
            <v>200469.3426144915</v>
          </cell>
          <cell r="K496" t="str">
            <v>Rupiah</v>
          </cell>
        </row>
        <row r="498">
          <cell r="C498" t="str">
            <v>E.</v>
          </cell>
          <cell r="D498" t="str">
            <v xml:space="preserve"> LAIN - LAIN</v>
          </cell>
        </row>
        <row r="499">
          <cell r="C499">
            <v>1</v>
          </cell>
          <cell r="D499" t="str">
            <v xml:space="preserve"> Tingkat Suku Bunga</v>
          </cell>
          <cell r="I499" t="str">
            <v>i</v>
          </cell>
          <cell r="J499">
            <v>20</v>
          </cell>
          <cell r="K499" t="str">
            <v>% / Tahun</v>
          </cell>
        </row>
        <row r="500">
          <cell r="C500">
            <v>2</v>
          </cell>
          <cell r="D500" t="str">
            <v xml:space="preserve"> Upah Operator / Sopir</v>
          </cell>
          <cell r="I500" t="str">
            <v>U1</v>
          </cell>
          <cell r="J500">
            <v>10750</v>
          </cell>
          <cell r="K500" t="str">
            <v>Rp. / Jam</v>
          </cell>
        </row>
        <row r="501">
          <cell r="C501">
            <v>3</v>
          </cell>
          <cell r="D501" t="str">
            <v xml:space="preserve"> Upah Pembantu Operator / Pembantu Sopir</v>
          </cell>
          <cell r="I501" t="str">
            <v>U2</v>
          </cell>
          <cell r="J501">
            <v>4500</v>
          </cell>
          <cell r="K501" t="str">
            <v>Rp. / Jam</v>
          </cell>
        </row>
        <row r="502">
          <cell r="C502">
            <v>4</v>
          </cell>
          <cell r="D502" t="str">
            <v xml:space="preserve"> Bahan Bakar Bensin</v>
          </cell>
          <cell r="I502" t="str">
            <v>Mb</v>
          </cell>
          <cell r="J502">
            <v>4500</v>
          </cell>
          <cell r="K502" t="str">
            <v>Liter</v>
          </cell>
        </row>
        <row r="503">
          <cell r="C503">
            <v>5</v>
          </cell>
          <cell r="D503" t="str">
            <v xml:space="preserve"> Bahan Bakar Solar</v>
          </cell>
          <cell r="I503" t="str">
            <v>Ms</v>
          </cell>
          <cell r="J503">
            <v>4300</v>
          </cell>
          <cell r="K503" t="str">
            <v>Liter</v>
          </cell>
        </row>
        <row r="504">
          <cell r="C504">
            <v>6</v>
          </cell>
          <cell r="D504" t="str">
            <v xml:space="preserve"> Minyak Pelumas</v>
          </cell>
          <cell r="I504" t="str">
            <v>Mp</v>
          </cell>
          <cell r="J504">
            <v>30000</v>
          </cell>
          <cell r="K504" t="str">
            <v>Liter</v>
          </cell>
        </row>
        <row r="505">
          <cell r="C505">
            <v>7</v>
          </cell>
          <cell r="D505" t="str">
            <v xml:space="preserve"> PPN diperhitungkan pada lembar Rekapitulasi Biaya Pekerjaan</v>
          </cell>
        </row>
        <row r="515">
          <cell r="C515" t="str">
            <v>JENIS ALAT</v>
          </cell>
          <cell r="E515" t="str">
            <v>:</v>
          </cell>
          <cell r="F515" t="str">
            <v>EXCAVATOR  80 - 140 HP</v>
          </cell>
        </row>
        <row r="516">
          <cell r="C516" t="str">
            <v>PERUSAHAAN</v>
          </cell>
          <cell r="E516" t="str">
            <v>:</v>
          </cell>
          <cell r="F516" t="str">
            <v>NAD / ACEH TENGAH</v>
          </cell>
        </row>
        <row r="518">
          <cell r="C518" t="str">
            <v>No.</v>
          </cell>
          <cell r="D518" t="str">
            <v>URAIAN</v>
          </cell>
          <cell r="I518" t="str">
            <v>KODE</v>
          </cell>
          <cell r="J518" t="str">
            <v>KOEF.</v>
          </cell>
          <cell r="K518" t="str">
            <v>SATUAN</v>
          </cell>
          <cell r="L518" t="str">
            <v>KET.</v>
          </cell>
        </row>
        <row r="520">
          <cell r="C520" t="str">
            <v>A.</v>
          </cell>
          <cell r="D520" t="str">
            <v xml:space="preserve"> URAIAN PERALATAN</v>
          </cell>
        </row>
        <row r="521">
          <cell r="C521">
            <v>1</v>
          </cell>
          <cell r="D521" t="str">
            <v xml:space="preserve"> Jenis Peralatan</v>
          </cell>
          <cell r="I521" t="str">
            <v>EXCAVATOR  80 - 140 HP</v>
          </cell>
          <cell r="L521" t="str">
            <v>E 10</v>
          </cell>
        </row>
        <row r="522">
          <cell r="C522">
            <v>2</v>
          </cell>
          <cell r="D522" t="str">
            <v xml:space="preserve"> Tenaga</v>
          </cell>
          <cell r="I522" t="str">
            <v>Pw</v>
          </cell>
          <cell r="J522">
            <v>100</v>
          </cell>
          <cell r="K522" t="str">
            <v>HP</v>
          </cell>
        </row>
        <row r="523">
          <cell r="C523">
            <v>3</v>
          </cell>
          <cell r="D523" t="str">
            <v xml:space="preserve"> Kapasitas</v>
          </cell>
          <cell r="I523" t="str">
            <v>Cp</v>
          </cell>
          <cell r="J523">
            <v>0.5</v>
          </cell>
          <cell r="K523" t="str">
            <v>M3</v>
          </cell>
        </row>
        <row r="524">
          <cell r="C524">
            <v>4</v>
          </cell>
          <cell r="D524" t="str">
            <v xml:space="preserve"> Alat Baru</v>
          </cell>
          <cell r="E524" t="str">
            <v>:</v>
          </cell>
          <cell r="F524" t="str">
            <v>a.</v>
          </cell>
          <cell r="G524" t="str">
            <v>Umur Ekonomis</v>
          </cell>
          <cell r="I524" t="str">
            <v>A</v>
          </cell>
          <cell r="J524">
            <v>5</v>
          </cell>
          <cell r="K524" t="str">
            <v>Tahun</v>
          </cell>
        </row>
        <row r="525">
          <cell r="F525" t="str">
            <v>b.</v>
          </cell>
          <cell r="G525" t="str">
            <v>Jam Kerja Dalam  1 Tahun</v>
          </cell>
          <cell r="I525" t="str">
            <v>W</v>
          </cell>
          <cell r="J525">
            <v>2000</v>
          </cell>
          <cell r="K525" t="str">
            <v>Jam</v>
          </cell>
        </row>
        <row r="526">
          <cell r="F526" t="str">
            <v>c.</v>
          </cell>
          <cell r="G526" t="str">
            <v>Harga Alat</v>
          </cell>
          <cell r="I526" t="str">
            <v>B</v>
          </cell>
          <cell r="J526">
            <v>770000000</v>
          </cell>
          <cell r="K526" t="str">
            <v>Rupiah</v>
          </cell>
        </row>
        <row r="527">
          <cell r="C527">
            <v>5</v>
          </cell>
          <cell r="D527" t="str">
            <v xml:space="preserve"> Alat Yang Dipakai</v>
          </cell>
          <cell r="E527" t="str">
            <v>:</v>
          </cell>
          <cell r="F527" t="str">
            <v>a.</v>
          </cell>
          <cell r="G527" t="str">
            <v>Umur Ekonomis</v>
          </cell>
          <cell r="I527" t="str">
            <v>A'</v>
          </cell>
          <cell r="J527">
            <v>5</v>
          </cell>
          <cell r="K527" t="str">
            <v>Tahun</v>
          </cell>
          <cell r="L527" t="str">
            <v>Alat Baru</v>
          </cell>
        </row>
        <row r="528">
          <cell r="F528" t="str">
            <v>b.</v>
          </cell>
          <cell r="G528" t="str">
            <v>Jam Kerja Dalam  1 Tahun</v>
          </cell>
          <cell r="I528" t="str">
            <v>W'</v>
          </cell>
          <cell r="J528">
            <v>2000</v>
          </cell>
          <cell r="K528" t="str">
            <v>Jam</v>
          </cell>
          <cell r="L528" t="str">
            <v>Alat Baru</v>
          </cell>
        </row>
        <row r="529">
          <cell r="F529" t="str">
            <v>c.</v>
          </cell>
          <cell r="G529" t="str">
            <v>Harga Alat  ( * )</v>
          </cell>
          <cell r="I529" t="str">
            <v>B'</v>
          </cell>
          <cell r="J529">
            <v>770000000</v>
          </cell>
          <cell r="K529" t="str">
            <v>Rupiah</v>
          </cell>
          <cell r="L529" t="str">
            <v>Alat Baru</v>
          </cell>
        </row>
        <row r="531">
          <cell r="C531" t="str">
            <v>B.</v>
          </cell>
          <cell r="D531" t="str">
            <v xml:space="preserve"> BIAYA PASTI PER JAM KERJA</v>
          </cell>
        </row>
        <row r="532">
          <cell r="C532">
            <v>1</v>
          </cell>
          <cell r="D532" t="str">
            <v xml:space="preserve"> Nilai Sisa Alat</v>
          </cell>
          <cell r="E532" t="str">
            <v>=  10 % x B</v>
          </cell>
          <cell r="I532" t="str">
            <v>C</v>
          </cell>
          <cell r="J532">
            <v>77000000</v>
          </cell>
          <cell r="K532" t="str">
            <v>Rupiah</v>
          </cell>
        </row>
        <row r="533">
          <cell r="C533">
            <v>2</v>
          </cell>
          <cell r="D533" t="str">
            <v xml:space="preserve"> Faktor Angsuran Modal</v>
          </cell>
          <cell r="F533" t="str">
            <v>=</v>
          </cell>
          <cell r="G533" t="str">
            <v>i x ( 1 + i ) ^ A'</v>
          </cell>
          <cell r="I533" t="str">
            <v>D</v>
          </cell>
          <cell r="J533">
            <v>0.33437970328961514</v>
          </cell>
          <cell r="K533" t="str">
            <v>-</v>
          </cell>
        </row>
        <row r="534">
          <cell r="G534" t="str">
            <v>( 1 + i ) ^ A' - 1</v>
          </cell>
        </row>
        <row r="535">
          <cell r="C535">
            <v>3</v>
          </cell>
          <cell r="D535" t="str">
            <v xml:space="preserve"> Biaya Pasti per Jam  :</v>
          </cell>
        </row>
        <row r="536">
          <cell r="D536" t="str">
            <v xml:space="preserve"> a. Biaya Pengembalian Modal</v>
          </cell>
          <cell r="F536" t="str">
            <v>=</v>
          </cell>
          <cell r="G536" t="str">
            <v>( B' - C ) x D</v>
          </cell>
          <cell r="I536" t="str">
            <v>E</v>
          </cell>
          <cell r="J536">
            <v>115862.56718985164</v>
          </cell>
          <cell r="K536" t="str">
            <v>Rupiah</v>
          </cell>
        </row>
        <row r="537">
          <cell r="G537" t="str">
            <v>W'</v>
          </cell>
        </row>
        <row r="538">
          <cell r="D538" t="str">
            <v xml:space="preserve"> b. Asuransi, dll</v>
          </cell>
          <cell r="E538" t="str">
            <v>=</v>
          </cell>
          <cell r="G538" t="str">
            <v>0,002 x B'</v>
          </cell>
          <cell r="I538" t="str">
            <v>F</v>
          </cell>
          <cell r="J538">
            <v>770</v>
          </cell>
          <cell r="K538" t="str">
            <v>Rupiah</v>
          </cell>
        </row>
        <row r="539">
          <cell r="G539" t="str">
            <v>W'</v>
          </cell>
        </row>
        <row r="540">
          <cell r="D540" t="str">
            <v xml:space="preserve"> Biaya Pasti per Jam</v>
          </cell>
          <cell r="E540" t="str">
            <v>=</v>
          </cell>
          <cell r="G540" t="str">
            <v>( E + F )</v>
          </cell>
          <cell r="I540" t="str">
            <v>G</v>
          </cell>
          <cell r="J540">
            <v>116632.56718985164</v>
          </cell>
          <cell r="K540" t="str">
            <v>Rupiah</v>
          </cell>
        </row>
        <row r="542">
          <cell r="C542" t="str">
            <v>C.</v>
          </cell>
          <cell r="D542" t="str">
            <v xml:space="preserve"> BIAYA OPERASI PER JAM KERJA</v>
          </cell>
        </row>
        <row r="543">
          <cell r="C543">
            <v>1</v>
          </cell>
          <cell r="D543" t="str">
            <v xml:space="preserve"> Bahan Bakar </v>
          </cell>
          <cell r="E543" t="str">
            <v>=</v>
          </cell>
          <cell r="F543" t="str">
            <v>(0,125 - 0,175 Ltr/HP/Jam) x Pw x Ms</v>
          </cell>
          <cell r="I543" t="str">
            <v>H</v>
          </cell>
          <cell r="J543">
            <v>53750</v>
          </cell>
          <cell r="K543" t="str">
            <v>Rupiah</v>
          </cell>
        </row>
        <row r="544">
          <cell r="C544">
            <v>2</v>
          </cell>
          <cell r="D544" t="str">
            <v xml:space="preserve"> Pelumas</v>
          </cell>
          <cell r="E544" t="str">
            <v>=</v>
          </cell>
          <cell r="F544" t="str">
            <v>(0,01 - 0,02 Ltr/HP/Jam) x Pw x Mp</v>
          </cell>
          <cell r="I544" t="str">
            <v>I</v>
          </cell>
          <cell r="J544">
            <v>30000</v>
          </cell>
          <cell r="K544" t="str">
            <v>Rupiah</v>
          </cell>
        </row>
        <row r="545">
          <cell r="C545">
            <v>3</v>
          </cell>
          <cell r="D545" t="str">
            <v xml:space="preserve"> Perawatan dan Perbaikan</v>
          </cell>
          <cell r="F545" t="str">
            <v>=</v>
          </cell>
          <cell r="G545" t="str">
            <v xml:space="preserve"> ( 12,5 % - 17,5 % ) x B'</v>
          </cell>
          <cell r="I545" t="str">
            <v>K</v>
          </cell>
          <cell r="J545">
            <v>48125</v>
          </cell>
          <cell r="K545" t="str">
            <v>Rupiah</v>
          </cell>
        </row>
        <row r="546">
          <cell r="G546" t="str">
            <v xml:space="preserve"> W'</v>
          </cell>
        </row>
        <row r="547">
          <cell r="C547">
            <v>4</v>
          </cell>
          <cell r="D547" t="str">
            <v xml:space="preserve"> Operator</v>
          </cell>
          <cell r="E547" t="str">
            <v>=</v>
          </cell>
          <cell r="F547" t="str">
            <v>( 1 Orang / Jam ) x U1</v>
          </cell>
          <cell r="I547" t="str">
            <v>L</v>
          </cell>
          <cell r="J547">
            <v>10750</v>
          </cell>
          <cell r="K547" t="str">
            <v>Rupiah</v>
          </cell>
        </row>
        <row r="548">
          <cell r="C548">
            <v>5</v>
          </cell>
          <cell r="D548" t="str">
            <v xml:space="preserve"> Pembantu Operator</v>
          </cell>
          <cell r="E548" t="str">
            <v>=</v>
          </cell>
          <cell r="F548" t="str">
            <v>( 1 Orang / Jam ) x U2</v>
          </cell>
          <cell r="I548" t="str">
            <v>M</v>
          </cell>
          <cell r="J548">
            <v>4500</v>
          </cell>
          <cell r="K548" t="str">
            <v>Rupiah</v>
          </cell>
        </row>
        <row r="549">
          <cell r="D549" t="str">
            <v xml:space="preserve"> Biaya Operasi Per Jam </v>
          </cell>
          <cell r="F549" t="str">
            <v>=</v>
          </cell>
          <cell r="G549" t="str">
            <v xml:space="preserve"> ( H + I + K + L + M )</v>
          </cell>
          <cell r="I549" t="str">
            <v>P</v>
          </cell>
          <cell r="J549">
            <v>147125</v>
          </cell>
          <cell r="K549" t="str">
            <v>Rupiah</v>
          </cell>
        </row>
        <row r="551">
          <cell r="C551" t="str">
            <v>D.</v>
          </cell>
          <cell r="D551" t="str">
            <v xml:space="preserve"> TOTAL BIAYA SEWA ALAT / JAM   =   ( G + P )</v>
          </cell>
          <cell r="I551" t="str">
            <v>S</v>
          </cell>
          <cell r="J551">
            <v>263757.56718985166</v>
          </cell>
          <cell r="K551" t="str">
            <v>Rupiah</v>
          </cell>
        </row>
        <row r="553">
          <cell r="C553" t="str">
            <v>E.</v>
          </cell>
          <cell r="D553" t="str">
            <v xml:space="preserve"> LAIN - LAIN</v>
          </cell>
        </row>
        <row r="554">
          <cell r="C554">
            <v>1</v>
          </cell>
          <cell r="D554" t="str">
            <v xml:space="preserve"> Tingkat Suku Bunga</v>
          </cell>
          <cell r="I554" t="str">
            <v>i</v>
          </cell>
          <cell r="J554">
            <v>20</v>
          </cell>
          <cell r="K554" t="str">
            <v>% / Tahun</v>
          </cell>
        </row>
        <row r="555">
          <cell r="C555">
            <v>2</v>
          </cell>
          <cell r="D555" t="str">
            <v xml:space="preserve"> Upah Operator / Sopir</v>
          </cell>
          <cell r="I555" t="str">
            <v>U1</v>
          </cell>
          <cell r="J555">
            <v>10750</v>
          </cell>
          <cell r="K555" t="str">
            <v>Rp. / Jam</v>
          </cell>
        </row>
        <row r="556">
          <cell r="C556">
            <v>3</v>
          </cell>
          <cell r="D556" t="str">
            <v xml:space="preserve"> Upah Pembantu Operator / Pembantu Sopir</v>
          </cell>
          <cell r="I556" t="str">
            <v>U2</v>
          </cell>
          <cell r="J556">
            <v>4500</v>
          </cell>
          <cell r="K556" t="str">
            <v>Rp. / Jam</v>
          </cell>
        </row>
        <row r="557">
          <cell r="C557">
            <v>4</v>
          </cell>
          <cell r="D557" t="str">
            <v xml:space="preserve"> Bahan Bakar Bensin</v>
          </cell>
          <cell r="I557" t="str">
            <v>Mb</v>
          </cell>
          <cell r="J557">
            <v>4500</v>
          </cell>
          <cell r="K557" t="str">
            <v>Liter</v>
          </cell>
        </row>
        <row r="558">
          <cell r="C558">
            <v>5</v>
          </cell>
          <cell r="D558" t="str">
            <v xml:space="preserve"> Bahan Bakar Solar</v>
          </cell>
          <cell r="I558" t="str">
            <v>Ms</v>
          </cell>
          <cell r="J558">
            <v>4300</v>
          </cell>
          <cell r="K558" t="str">
            <v>Liter</v>
          </cell>
        </row>
        <row r="559">
          <cell r="C559">
            <v>6</v>
          </cell>
          <cell r="D559" t="str">
            <v xml:space="preserve"> Minyak Pelumas</v>
          </cell>
          <cell r="I559" t="str">
            <v>Mp</v>
          </cell>
          <cell r="J559">
            <v>30000</v>
          </cell>
          <cell r="K559" t="str">
            <v>Liter</v>
          </cell>
        </row>
        <row r="560">
          <cell r="C560">
            <v>7</v>
          </cell>
          <cell r="D560" t="str">
            <v xml:space="preserve"> PPN diperhitungkan pada lembar Rekapitulasi Biaya Pekerjaan</v>
          </cell>
        </row>
        <row r="564">
          <cell r="C564" t="str">
            <v>JENIS ALAT</v>
          </cell>
          <cell r="E564" t="str">
            <v>:</v>
          </cell>
          <cell r="F564" t="str">
            <v>FLAT BED TRUCK  3 - 4 M3</v>
          </cell>
        </row>
        <row r="565">
          <cell r="C565" t="str">
            <v>PERUSAHAAN</v>
          </cell>
          <cell r="E565" t="str">
            <v>:</v>
          </cell>
          <cell r="F565" t="str">
            <v>NAD / ACEH TENGAH</v>
          </cell>
        </row>
        <row r="567">
          <cell r="C567" t="str">
            <v>No.</v>
          </cell>
          <cell r="D567" t="str">
            <v>URAIAN</v>
          </cell>
          <cell r="I567" t="str">
            <v>KODE</v>
          </cell>
          <cell r="J567" t="str">
            <v>KOEF.</v>
          </cell>
          <cell r="K567" t="str">
            <v>SATUAN</v>
          </cell>
          <cell r="L567" t="str">
            <v>KET.</v>
          </cell>
        </row>
        <row r="569">
          <cell r="C569" t="str">
            <v>A.</v>
          </cell>
          <cell r="D569" t="str">
            <v xml:space="preserve"> URAIAN PERALATAN</v>
          </cell>
        </row>
        <row r="570">
          <cell r="C570">
            <v>1</v>
          </cell>
          <cell r="D570" t="str">
            <v xml:space="preserve"> Jenis Peralatan</v>
          </cell>
          <cell r="I570" t="str">
            <v>FLAT BED TRUCK  3 - 4 M3</v>
          </cell>
          <cell r="L570" t="str">
            <v>E 11</v>
          </cell>
        </row>
        <row r="571">
          <cell r="C571">
            <v>2</v>
          </cell>
          <cell r="D571" t="str">
            <v xml:space="preserve"> Tenaga</v>
          </cell>
          <cell r="I571" t="str">
            <v>Pw</v>
          </cell>
          <cell r="J571">
            <v>100</v>
          </cell>
          <cell r="K571" t="str">
            <v>HP</v>
          </cell>
        </row>
        <row r="572">
          <cell r="C572">
            <v>3</v>
          </cell>
          <cell r="D572" t="str">
            <v xml:space="preserve"> Kapasitas</v>
          </cell>
          <cell r="I572" t="str">
            <v>Cp</v>
          </cell>
          <cell r="J572">
            <v>4</v>
          </cell>
          <cell r="K572" t="str">
            <v>M3</v>
          </cell>
        </row>
        <row r="573">
          <cell r="C573">
            <v>4</v>
          </cell>
          <cell r="D573" t="str">
            <v xml:space="preserve"> Alat Baru</v>
          </cell>
          <cell r="E573" t="str">
            <v>:</v>
          </cell>
          <cell r="F573" t="str">
            <v>a.</v>
          </cell>
          <cell r="G573" t="str">
            <v>Umur Ekonomis</v>
          </cell>
          <cell r="I573" t="str">
            <v>A</v>
          </cell>
          <cell r="J573">
            <v>5</v>
          </cell>
          <cell r="K573" t="str">
            <v>Tahun</v>
          </cell>
        </row>
        <row r="574">
          <cell r="F574" t="str">
            <v>b.</v>
          </cell>
          <cell r="G574" t="str">
            <v>Jam Kerja Dalam  1 Tahun</v>
          </cell>
          <cell r="I574" t="str">
            <v>W</v>
          </cell>
          <cell r="J574">
            <v>2000</v>
          </cell>
          <cell r="K574" t="str">
            <v>Jam</v>
          </cell>
        </row>
        <row r="575">
          <cell r="F575" t="str">
            <v>c.</v>
          </cell>
          <cell r="G575" t="str">
            <v>Harga Alat</v>
          </cell>
          <cell r="I575" t="str">
            <v>B</v>
          </cell>
          <cell r="J575">
            <v>125000000</v>
          </cell>
          <cell r="K575" t="str">
            <v>Rupiah</v>
          </cell>
        </row>
        <row r="576">
          <cell r="C576">
            <v>5</v>
          </cell>
          <cell r="D576" t="str">
            <v xml:space="preserve"> Alat Yang Dipakai</v>
          </cell>
          <cell r="E576" t="str">
            <v>:</v>
          </cell>
          <cell r="F576" t="str">
            <v>a.</v>
          </cell>
          <cell r="G576" t="str">
            <v>Umur Ekonomis</v>
          </cell>
          <cell r="I576" t="str">
            <v>A'</v>
          </cell>
          <cell r="J576">
            <v>5</v>
          </cell>
          <cell r="K576" t="str">
            <v>Tahun</v>
          </cell>
          <cell r="L576" t="str">
            <v>Alat Baru</v>
          </cell>
        </row>
        <row r="577">
          <cell r="F577" t="str">
            <v>b.</v>
          </cell>
          <cell r="G577" t="str">
            <v>Jam Kerja Dalam  1 Tahun</v>
          </cell>
          <cell r="I577" t="str">
            <v>W'</v>
          </cell>
          <cell r="J577">
            <v>2000</v>
          </cell>
          <cell r="K577" t="str">
            <v>Jam</v>
          </cell>
          <cell r="L577" t="str">
            <v>Alat Baru</v>
          </cell>
        </row>
        <row r="578">
          <cell r="F578" t="str">
            <v>c.</v>
          </cell>
          <cell r="G578" t="str">
            <v>Harga Alat  ( * )</v>
          </cell>
          <cell r="I578" t="str">
            <v>B'</v>
          </cell>
          <cell r="J578">
            <v>125000000</v>
          </cell>
          <cell r="K578" t="str">
            <v>Rupiah</v>
          </cell>
          <cell r="L578" t="str">
            <v>Alat Baru</v>
          </cell>
        </row>
        <row r="580">
          <cell r="C580" t="str">
            <v>B.</v>
          </cell>
          <cell r="D580" t="str">
            <v xml:space="preserve"> BIAYA PASTI PER JAM KERJA</v>
          </cell>
        </row>
        <row r="581">
          <cell r="C581">
            <v>1</v>
          </cell>
          <cell r="D581" t="str">
            <v xml:space="preserve"> Nilai Sisa Alat</v>
          </cell>
          <cell r="E581" t="str">
            <v>=  10 % x B</v>
          </cell>
          <cell r="I581" t="str">
            <v>C</v>
          </cell>
          <cell r="J581">
            <v>12500000</v>
          </cell>
          <cell r="K581" t="str">
            <v>Rupiah</v>
          </cell>
        </row>
        <row r="582">
          <cell r="C582">
            <v>2</v>
          </cell>
          <cell r="D582" t="str">
            <v xml:space="preserve"> Faktor Angsuran Modal</v>
          </cell>
          <cell r="F582" t="str">
            <v>=</v>
          </cell>
          <cell r="G582" t="str">
            <v>i x ( 1 + i ) ^ A'</v>
          </cell>
          <cell r="I582" t="str">
            <v>D</v>
          </cell>
          <cell r="J582">
            <v>0.33437970328961514</v>
          </cell>
          <cell r="K582" t="str">
            <v>-</v>
          </cell>
        </row>
        <row r="583">
          <cell r="G583" t="str">
            <v>( 1 + i ) ^ A' - 1</v>
          </cell>
        </row>
        <row r="584">
          <cell r="C584">
            <v>3</v>
          </cell>
          <cell r="D584" t="str">
            <v xml:space="preserve"> Biaya Pasti per Jam  :</v>
          </cell>
        </row>
        <row r="585">
          <cell r="D585" t="str">
            <v xml:space="preserve"> a. Biaya Pengembalian Modal</v>
          </cell>
          <cell r="F585" t="str">
            <v>=</v>
          </cell>
          <cell r="G585" t="str">
            <v>( B' - C ) x D</v>
          </cell>
          <cell r="I585" t="str">
            <v>E</v>
          </cell>
          <cell r="J585">
            <v>18808.85831004085</v>
          </cell>
          <cell r="K585" t="str">
            <v>Rupiah</v>
          </cell>
        </row>
        <row r="586">
          <cell r="G586" t="str">
            <v>W'</v>
          </cell>
        </row>
        <row r="587">
          <cell r="D587" t="str">
            <v xml:space="preserve"> b. Asuransi, dll</v>
          </cell>
          <cell r="E587" t="str">
            <v>=</v>
          </cell>
          <cell r="G587" t="str">
            <v>0,002 x B'</v>
          </cell>
          <cell r="I587" t="str">
            <v>F</v>
          </cell>
          <cell r="J587">
            <v>125</v>
          </cell>
          <cell r="K587" t="str">
            <v>Rupiah</v>
          </cell>
        </row>
        <row r="588">
          <cell r="G588" t="str">
            <v>W'</v>
          </cell>
        </row>
        <row r="589">
          <cell r="D589" t="str">
            <v xml:space="preserve"> Biaya Pasti per Jam</v>
          </cell>
          <cell r="E589" t="str">
            <v>=</v>
          </cell>
          <cell r="G589" t="str">
            <v>( E + F )</v>
          </cell>
          <cell r="I589" t="str">
            <v>G</v>
          </cell>
          <cell r="J589">
            <v>18933.85831004085</v>
          </cell>
          <cell r="K589" t="str">
            <v>Rupiah</v>
          </cell>
        </row>
        <row r="591">
          <cell r="C591" t="str">
            <v>C.</v>
          </cell>
          <cell r="D591" t="str">
            <v xml:space="preserve"> BIAYA OPERASI PER JAM KERJA</v>
          </cell>
        </row>
        <row r="592">
          <cell r="C592">
            <v>1</v>
          </cell>
          <cell r="D592" t="str">
            <v xml:space="preserve"> Bahan Bakar </v>
          </cell>
          <cell r="E592" t="str">
            <v>=</v>
          </cell>
          <cell r="F592" t="str">
            <v>(0,125 - 0,175 Ltr/HP/Jam) x Pw x Ms</v>
          </cell>
          <cell r="I592" t="str">
            <v>H</v>
          </cell>
          <cell r="J592">
            <v>53750</v>
          </cell>
          <cell r="K592" t="str">
            <v>Rupiah</v>
          </cell>
        </row>
        <row r="593">
          <cell r="C593">
            <v>2</v>
          </cell>
          <cell r="D593" t="str">
            <v xml:space="preserve"> Pelumas</v>
          </cell>
          <cell r="E593" t="str">
            <v>=</v>
          </cell>
          <cell r="F593" t="str">
            <v>(0,01 - 0,02 Ltr/HP/Jam) x Pw x Mp</v>
          </cell>
          <cell r="I593" t="str">
            <v>I</v>
          </cell>
          <cell r="J593">
            <v>30000</v>
          </cell>
          <cell r="K593" t="str">
            <v>Rupiah</v>
          </cell>
        </row>
        <row r="594">
          <cell r="C594">
            <v>3</v>
          </cell>
          <cell r="D594" t="str">
            <v xml:space="preserve"> Perawatan dan Perbaikan</v>
          </cell>
          <cell r="F594" t="str">
            <v>=</v>
          </cell>
          <cell r="G594" t="str">
            <v xml:space="preserve"> ( 12,5 % - 17,5 % ) x B'</v>
          </cell>
          <cell r="I594" t="str">
            <v>K</v>
          </cell>
          <cell r="J594">
            <v>7812.5</v>
          </cell>
          <cell r="K594" t="str">
            <v>Rupiah</v>
          </cell>
        </row>
        <row r="595">
          <cell r="G595" t="str">
            <v xml:space="preserve"> W'</v>
          </cell>
        </row>
        <row r="596">
          <cell r="C596">
            <v>4</v>
          </cell>
          <cell r="D596" t="str">
            <v xml:space="preserve"> Operator</v>
          </cell>
          <cell r="E596" t="str">
            <v>=</v>
          </cell>
          <cell r="F596" t="str">
            <v>( 1 Orang / Jam ) x U1</v>
          </cell>
          <cell r="I596" t="str">
            <v>L</v>
          </cell>
          <cell r="J596">
            <v>10750</v>
          </cell>
          <cell r="K596" t="str">
            <v>Rupiah</v>
          </cell>
        </row>
        <row r="597">
          <cell r="C597">
            <v>5</v>
          </cell>
          <cell r="D597" t="str">
            <v xml:space="preserve"> Pembantu Operator</v>
          </cell>
          <cell r="E597" t="str">
            <v>=</v>
          </cell>
          <cell r="F597" t="str">
            <v>( 1 Orang / Jam ) x U2</v>
          </cell>
          <cell r="I597" t="str">
            <v>M</v>
          </cell>
          <cell r="J597">
            <v>4500</v>
          </cell>
          <cell r="K597" t="str">
            <v>Rupiah</v>
          </cell>
        </row>
        <row r="598">
          <cell r="D598" t="str">
            <v xml:space="preserve"> Biaya Operasi Per Jam </v>
          </cell>
          <cell r="F598" t="str">
            <v>=</v>
          </cell>
          <cell r="G598" t="str">
            <v xml:space="preserve"> ( H + I + K + L + M )</v>
          </cell>
          <cell r="I598" t="str">
            <v>P</v>
          </cell>
          <cell r="J598">
            <v>106812.5</v>
          </cell>
          <cell r="K598" t="str">
            <v>Rupiah</v>
          </cell>
        </row>
        <row r="600">
          <cell r="C600" t="str">
            <v>D.</v>
          </cell>
          <cell r="D600" t="str">
            <v xml:space="preserve"> TOTAL BIAYA SEWA ALAT / JAM   =   ( G + P )</v>
          </cell>
          <cell r="I600" t="str">
            <v>S</v>
          </cell>
          <cell r="J600">
            <v>125746.35831004084</v>
          </cell>
          <cell r="K600" t="str">
            <v>Rupiah</v>
          </cell>
        </row>
        <row r="602">
          <cell r="C602" t="str">
            <v>E.</v>
          </cell>
          <cell r="D602" t="str">
            <v xml:space="preserve"> LAIN - LAIN</v>
          </cell>
        </row>
        <row r="603">
          <cell r="C603">
            <v>1</v>
          </cell>
          <cell r="D603" t="str">
            <v xml:space="preserve"> Tingkat Suku Bunga</v>
          </cell>
          <cell r="I603" t="str">
            <v>i</v>
          </cell>
          <cell r="J603">
            <v>20</v>
          </cell>
          <cell r="K603" t="str">
            <v>% / Tahun</v>
          </cell>
        </row>
        <row r="604">
          <cell r="C604">
            <v>2</v>
          </cell>
          <cell r="D604" t="str">
            <v xml:space="preserve"> Upah Operator / Sopir</v>
          </cell>
          <cell r="I604" t="str">
            <v>U1</v>
          </cell>
          <cell r="J604">
            <v>10750</v>
          </cell>
          <cell r="K604" t="str">
            <v>Rp. / Jam</v>
          </cell>
        </row>
        <row r="605">
          <cell r="C605">
            <v>3</v>
          </cell>
          <cell r="D605" t="str">
            <v xml:space="preserve"> Upah Pembantu Operator / Pembantu Sopir</v>
          </cell>
          <cell r="I605" t="str">
            <v>U2</v>
          </cell>
          <cell r="J605">
            <v>4500</v>
          </cell>
          <cell r="K605" t="str">
            <v>Rp. / Jam</v>
          </cell>
        </row>
        <row r="606">
          <cell r="C606">
            <v>4</v>
          </cell>
          <cell r="D606" t="str">
            <v xml:space="preserve"> Bahan Bakar Bensin</v>
          </cell>
          <cell r="I606" t="str">
            <v>Mb</v>
          </cell>
          <cell r="J606">
            <v>4500</v>
          </cell>
          <cell r="K606" t="str">
            <v>Liter</v>
          </cell>
        </row>
        <row r="607">
          <cell r="C607">
            <v>5</v>
          </cell>
          <cell r="D607" t="str">
            <v xml:space="preserve"> Bahan Bakar Solar</v>
          </cell>
          <cell r="I607" t="str">
            <v>Ms</v>
          </cell>
          <cell r="J607">
            <v>4300</v>
          </cell>
          <cell r="K607" t="str">
            <v>Liter</v>
          </cell>
        </row>
        <row r="608">
          <cell r="C608">
            <v>6</v>
          </cell>
          <cell r="D608" t="str">
            <v xml:space="preserve"> Minyak Pelumas</v>
          </cell>
          <cell r="I608" t="str">
            <v>Mp</v>
          </cell>
          <cell r="J608">
            <v>30000</v>
          </cell>
          <cell r="K608" t="str">
            <v>Liter</v>
          </cell>
        </row>
        <row r="609">
          <cell r="C609">
            <v>7</v>
          </cell>
          <cell r="D609" t="str">
            <v xml:space="preserve"> PPN diperhitungkan pada lembar Rekapitulasi Biaya Pekerjaan</v>
          </cell>
        </row>
        <row r="613">
          <cell r="C613" t="str">
            <v>JENIS ALAT</v>
          </cell>
          <cell r="E613" t="str">
            <v>:</v>
          </cell>
          <cell r="F613" t="str">
            <v>GENERATOR SET</v>
          </cell>
        </row>
        <row r="614">
          <cell r="C614" t="str">
            <v>PERUSAHAAN</v>
          </cell>
          <cell r="E614" t="str">
            <v>:</v>
          </cell>
          <cell r="F614" t="str">
            <v>NAD / ACEH TENGAH</v>
          </cell>
        </row>
        <row r="616">
          <cell r="C616" t="str">
            <v>No.</v>
          </cell>
          <cell r="D616" t="str">
            <v>URAIAN</v>
          </cell>
          <cell r="I616" t="str">
            <v>KODE</v>
          </cell>
          <cell r="J616" t="str">
            <v>KOEF.</v>
          </cell>
          <cell r="K616" t="str">
            <v>SATUAN</v>
          </cell>
          <cell r="L616" t="str">
            <v>KET.</v>
          </cell>
        </row>
        <row r="618">
          <cell r="C618" t="str">
            <v>A.</v>
          </cell>
          <cell r="D618" t="str">
            <v xml:space="preserve"> URAIAN PERALATAN</v>
          </cell>
        </row>
        <row r="619">
          <cell r="C619">
            <v>1</v>
          </cell>
          <cell r="D619" t="str">
            <v xml:space="preserve"> Jenis Peralatan</v>
          </cell>
          <cell r="I619" t="str">
            <v>GENERATOR SET</v>
          </cell>
          <cell r="L619" t="str">
            <v>E 12</v>
          </cell>
        </row>
        <row r="620">
          <cell r="C620">
            <v>2</v>
          </cell>
          <cell r="D620" t="str">
            <v xml:space="preserve"> Tenaga</v>
          </cell>
          <cell r="I620" t="str">
            <v>Pw</v>
          </cell>
          <cell r="J620">
            <v>175</v>
          </cell>
          <cell r="K620" t="str">
            <v>HP</v>
          </cell>
        </row>
        <row r="621">
          <cell r="C621">
            <v>3</v>
          </cell>
          <cell r="D621" t="str">
            <v xml:space="preserve"> Kapasitas</v>
          </cell>
          <cell r="I621" t="str">
            <v>Cp</v>
          </cell>
          <cell r="J621">
            <v>125</v>
          </cell>
          <cell r="K621" t="str">
            <v>K V A</v>
          </cell>
        </row>
        <row r="622">
          <cell r="C622">
            <v>4</v>
          </cell>
          <cell r="D622" t="str">
            <v xml:space="preserve"> Alat Baru</v>
          </cell>
          <cell r="E622" t="str">
            <v>:</v>
          </cell>
          <cell r="F622" t="str">
            <v>a.</v>
          </cell>
          <cell r="G622" t="str">
            <v>Umur Ekonomis</v>
          </cell>
          <cell r="I622" t="str">
            <v>A</v>
          </cell>
          <cell r="J622">
            <v>5</v>
          </cell>
          <cell r="K622" t="str">
            <v>Tahun</v>
          </cell>
        </row>
        <row r="623">
          <cell r="F623" t="str">
            <v>b.</v>
          </cell>
          <cell r="G623" t="str">
            <v>Jam Kerja Dalam  1 Tahun</v>
          </cell>
          <cell r="I623" t="str">
            <v>W</v>
          </cell>
          <cell r="J623">
            <v>200</v>
          </cell>
          <cell r="K623" t="str">
            <v>Jam</v>
          </cell>
        </row>
        <row r="624">
          <cell r="F624" t="str">
            <v>c.</v>
          </cell>
          <cell r="G624" t="str">
            <v>Harga Alat</v>
          </cell>
          <cell r="I624" t="str">
            <v>B</v>
          </cell>
          <cell r="J624">
            <v>140800000</v>
          </cell>
          <cell r="K624" t="str">
            <v>Rupiah</v>
          </cell>
        </row>
        <row r="625">
          <cell r="C625">
            <v>5</v>
          </cell>
          <cell r="D625" t="str">
            <v xml:space="preserve"> Alat Yang Dipakai</v>
          </cell>
          <cell r="E625" t="str">
            <v>:</v>
          </cell>
          <cell r="F625" t="str">
            <v>a.</v>
          </cell>
          <cell r="G625" t="str">
            <v>Umur Ekonomis</v>
          </cell>
          <cell r="I625" t="str">
            <v>A'</v>
          </cell>
          <cell r="J625">
            <v>5</v>
          </cell>
          <cell r="K625" t="str">
            <v>Tahun</v>
          </cell>
          <cell r="L625" t="str">
            <v>Alat Baru</v>
          </cell>
        </row>
        <row r="626">
          <cell r="F626" t="str">
            <v>b.</v>
          </cell>
          <cell r="G626" t="str">
            <v>Jam Kerja Dalam  1 Tahun</v>
          </cell>
          <cell r="I626" t="str">
            <v>W'</v>
          </cell>
          <cell r="J626">
            <v>200</v>
          </cell>
          <cell r="K626" t="str">
            <v>Jam</v>
          </cell>
          <cell r="L626" t="str">
            <v>Alat Baru</v>
          </cell>
        </row>
        <row r="627">
          <cell r="F627" t="str">
            <v>c.</v>
          </cell>
          <cell r="G627" t="str">
            <v>Harga Alat  ( * )</v>
          </cell>
          <cell r="I627" t="str">
            <v>B'</v>
          </cell>
          <cell r="J627">
            <v>140800000</v>
          </cell>
          <cell r="K627" t="str">
            <v>Rupiah</v>
          </cell>
          <cell r="L627" t="str">
            <v>Alat Baru</v>
          </cell>
        </row>
        <row r="629">
          <cell r="C629" t="str">
            <v>B.</v>
          </cell>
          <cell r="D629" t="str">
            <v xml:space="preserve"> BIAYA PASTI PER JAM KERJA</v>
          </cell>
        </row>
        <row r="630">
          <cell r="C630">
            <v>1</v>
          </cell>
          <cell r="D630" t="str">
            <v xml:space="preserve"> Nilai Sisa Alat</v>
          </cell>
          <cell r="E630" t="str">
            <v>=  10 % x B</v>
          </cell>
          <cell r="I630" t="str">
            <v>C</v>
          </cell>
          <cell r="J630">
            <v>14080000</v>
          </cell>
          <cell r="K630" t="str">
            <v>Rupiah</v>
          </cell>
        </row>
        <row r="631">
          <cell r="C631">
            <v>2</v>
          </cell>
          <cell r="D631" t="str">
            <v xml:space="preserve"> Faktor Angsuran Modal</v>
          </cell>
          <cell r="F631" t="str">
            <v>=</v>
          </cell>
          <cell r="G631" t="str">
            <v>i x ( 1 + i ) ^ A'</v>
          </cell>
          <cell r="I631" t="str">
            <v>D</v>
          </cell>
          <cell r="J631">
            <v>0.33437970328961514</v>
          </cell>
          <cell r="K631" t="str">
            <v>-</v>
          </cell>
        </row>
        <row r="632">
          <cell r="G632" t="str">
            <v>( 1 + i ) ^ A' - 1</v>
          </cell>
        </row>
        <row r="633">
          <cell r="C633">
            <v>3</v>
          </cell>
          <cell r="D633" t="str">
            <v xml:space="preserve"> Biaya Pasti per Jam  :</v>
          </cell>
        </row>
        <row r="634">
          <cell r="D634" t="str">
            <v xml:space="preserve"> a. Biaya Pengembalian Modal</v>
          </cell>
          <cell r="F634" t="str">
            <v>=</v>
          </cell>
          <cell r="G634" t="str">
            <v>( B' - C ) x D</v>
          </cell>
          <cell r="I634" t="str">
            <v>E</v>
          </cell>
          <cell r="J634">
            <v>211862.98000430013</v>
          </cell>
          <cell r="K634" t="str">
            <v>Rupiah</v>
          </cell>
        </row>
        <row r="635">
          <cell r="G635" t="str">
            <v>W'</v>
          </cell>
        </row>
        <row r="636">
          <cell r="D636" t="str">
            <v xml:space="preserve"> b. Asuransi, dll</v>
          </cell>
          <cell r="E636" t="str">
            <v>=</v>
          </cell>
          <cell r="G636" t="str">
            <v>0,002 x B'</v>
          </cell>
          <cell r="I636" t="str">
            <v>F</v>
          </cell>
          <cell r="J636">
            <v>1408</v>
          </cell>
          <cell r="K636" t="str">
            <v>Rupiah</v>
          </cell>
        </row>
        <row r="637">
          <cell r="G637" t="str">
            <v>W'</v>
          </cell>
        </row>
        <row r="638">
          <cell r="D638" t="str">
            <v xml:space="preserve"> Biaya Pasti per Jam</v>
          </cell>
          <cell r="E638" t="str">
            <v>=</v>
          </cell>
          <cell r="G638" t="str">
            <v>( E + F )</v>
          </cell>
          <cell r="I638" t="str">
            <v>G</v>
          </cell>
          <cell r="J638">
            <v>213270.98000430013</v>
          </cell>
          <cell r="K638" t="str">
            <v>Rupiah</v>
          </cell>
        </row>
        <row r="640">
          <cell r="C640" t="str">
            <v>C.</v>
          </cell>
          <cell r="D640" t="str">
            <v xml:space="preserve"> BIAYA OPERASI PER JAM KERJA</v>
          </cell>
        </row>
        <row r="641">
          <cell r="C641">
            <v>1</v>
          </cell>
          <cell r="D641" t="str">
            <v xml:space="preserve"> Bahan Bakar </v>
          </cell>
          <cell r="E641" t="str">
            <v>=</v>
          </cell>
          <cell r="F641" t="str">
            <v>(0,125 - 0,175 Ltr/HP/Jam) x Pw x Ms</v>
          </cell>
          <cell r="I641" t="str">
            <v>H</v>
          </cell>
          <cell r="J641">
            <v>94062.5</v>
          </cell>
          <cell r="K641" t="str">
            <v>Rupiah</v>
          </cell>
        </row>
        <row r="642">
          <cell r="C642">
            <v>2</v>
          </cell>
          <cell r="D642" t="str">
            <v xml:space="preserve"> Pelumas</v>
          </cell>
          <cell r="E642" t="str">
            <v>=</v>
          </cell>
          <cell r="F642" t="str">
            <v>(0,01 - 0,02 Ltr/HP/Jam) x Pw x Mp</v>
          </cell>
          <cell r="I642" t="str">
            <v>I</v>
          </cell>
          <cell r="J642">
            <v>52500</v>
          </cell>
          <cell r="K642" t="str">
            <v>Rupiah</v>
          </cell>
        </row>
        <row r="643">
          <cell r="C643">
            <v>3</v>
          </cell>
          <cell r="D643" t="str">
            <v xml:space="preserve"> Perawatan dan Perbaikan</v>
          </cell>
          <cell r="F643" t="str">
            <v>=</v>
          </cell>
          <cell r="G643" t="str">
            <v xml:space="preserve"> ( 12,5 % - 17,5 % ) x B'</v>
          </cell>
          <cell r="I643" t="str">
            <v>K</v>
          </cell>
          <cell r="J643">
            <v>88000</v>
          </cell>
          <cell r="K643" t="str">
            <v>Rupiah</v>
          </cell>
        </row>
        <row r="644">
          <cell r="G644" t="str">
            <v xml:space="preserve"> W'</v>
          </cell>
        </row>
        <row r="645">
          <cell r="C645">
            <v>4</v>
          </cell>
          <cell r="D645" t="str">
            <v xml:space="preserve"> Operator</v>
          </cell>
          <cell r="E645" t="str">
            <v>=</v>
          </cell>
          <cell r="F645" t="str">
            <v>( 1 Orang / Jam ) x U1</v>
          </cell>
          <cell r="I645" t="str">
            <v>L</v>
          </cell>
          <cell r="J645">
            <v>10750</v>
          </cell>
          <cell r="K645" t="str">
            <v>Rupiah</v>
          </cell>
        </row>
        <row r="646">
          <cell r="C646">
            <v>5</v>
          </cell>
          <cell r="D646" t="str">
            <v xml:space="preserve"> Pembantu Operator</v>
          </cell>
          <cell r="E646" t="str">
            <v>=</v>
          </cell>
          <cell r="F646" t="str">
            <v>( 1 Orang / Jam ) x U2</v>
          </cell>
          <cell r="I646" t="str">
            <v>M</v>
          </cell>
          <cell r="J646">
            <v>4500</v>
          </cell>
          <cell r="K646" t="str">
            <v>Rupiah</v>
          </cell>
        </row>
        <row r="647">
          <cell r="D647" t="str">
            <v xml:space="preserve"> Biaya Operasi Per Jam </v>
          </cell>
          <cell r="F647" t="str">
            <v>=</v>
          </cell>
          <cell r="G647" t="str">
            <v xml:space="preserve"> ( H + I + K + L + M )</v>
          </cell>
          <cell r="I647" t="str">
            <v>P</v>
          </cell>
          <cell r="J647">
            <v>249812.5</v>
          </cell>
          <cell r="K647" t="str">
            <v>Rupiah</v>
          </cell>
        </row>
        <row r="649">
          <cell r="C649" t="str">
            <v>D.</v>
          </cell>
          <cell r="D649" t="str">
            <v xml:space="preserve"> TOTAL BIAYA SEWA ALAT / JAM   =   ( G + P )</v>
          </cell>
          <cell r="I649" t="str">
            <v>S</v>
          </cell>
          <cell r="J649">
            <v>463083.48000430013</v>
          </cell>
          <cell r="K649" t="str">
            <v>Rupiah</v>
          </cell>
        </row>
        <row r="651">
          <cell r="C651" t="str">
            <v>E.</v>
          </cell>
          <cell r="D651" t="str">
            <v xml:space="preserve"> LAIN - LAIN</v>
          </cell>
        </row>
        <row r="652">
          <cell r="C652">
            <v>1</v>
          </cell>
          <cell r="D652" t="str">
            <v xml:space="preserve"> Tingkat Suku Bunga</v>
          </cell>
          <cell r="I652" t="str">
            <v>i</v>
          </cell>
          <cell r="J652">
            <v>20</v>
          </cell>
          <cell r="K652" t="str">
            <v>% / Tahun</v>
          </cell>
        </row>
        <row r="653">
          <cell r="C653">
            <v>2</v>
          </cell>
          <cell r="D653" t="str">
            <v xml:space="preserve"> Upah Operator / Sopir</v>
          </cell>
          <cell r="I653" t="str">
            <v>U1</v>
          </cell>
          <cell r="J653">
            <v>10750</v>
          </cell>
          <cell r="K653" t="str">
            <v>Rp. / Jam</v>
          </cell>
        </row>
        <row r="654">
          <cell r="C654">
            <v>3</v>
          </cell>
          <cell r="D654" t="str">
            <v xml:space="preserve"> Upah Pembantu Operator / Pembantu Sopir</v>
          </cell>
          <cell r="I654" t="str">
            <v>U2</v>
          </cell>
          <cell r="J654">
            <v>4500</v>
          </cell>
          <cell r="K654" t="str">
            <v>Rp. / Jam</v>
          </cell>
        </row>
        <row r="655">
          <cell r="C655">
            <v>4</v>
          </cell>
          <cell r="D655" t="str">
            <v xml:space="preserve"> Bahan Bakar Bensin</v>
          </cell>
          <cell r="I655" t="str">
            <v>Mb</v>
          </cell>
          <cell r="J655">
            <v>4500</v>
          </cell>
          <cell r="K655" t="str">
            <v>Liter</v>
          </cell>
        </row>
        <row r="656">
          <cell r="C656">
            <v>5</v>
          </cell>
          <cell r="D656" t="str">
            <v xml:space="preserve"> Bahan Bakar Solar</v>
          </cell>
          <cell r="I656" t="str">
            <v>Ms</v>
          </cell>
          <cell r="J656">
            <v>4300</v>
          </cell>
          <cell r="K656" t="str">
            <v>Liter</v>
          </cell>
        </row>
        <row r="657">
          <cell r="C657">
            <v>6</v>
          </cell>
          <cell r="D657" t="str">
            <v xml:space="preserve"> Minyak Pelumas</v>
          </cell>
          <cell r="I657" t="str">
            <v>Mp</v>
          </cell>
          <cell r="J657">
            <v>30000</v>
          </cell>
          <cell r="K657" t="str">
            <v>Liter</v>
          </cell>
        </row>
        <row r="658">
          <cell r="C658">
            <v>7</v>
          </cell>
          <cell r="D658" t="str">
            <v xml:space="preserve"> PPN diperhitungkan pada lembar Rekapitulasi Biaya Pekerjaan</v>
          </cell>
        </row>
        <row r="662">
          <cell r="C662" t="str">
            <v>JENIS ALAT</v>
          </cell>
          <cell r="E662" t="str">
            <v>:</v>
          </cell>
          <cell r="F662" t="str">
            <v>MOTOR GRADER  &gt; 100 HP</v>
          </cell>
        </row>
        <row r="663">
          <cell r="C663" t="str">
            <v>PERUSAHAAN</v>
          </cell>
          <cell r="E663" t="str">
            <v>:</v>
          </cell>
          <cell r="F663" t="str">
            <v>NAD / ACEH TENGAH</v>
          </cell>
        </row>
        <row r="665">
          <cell r="C665" t="str">
            <v>No.</v>
          </cell>
          <cell r="D665" t="str">
            <v>URAIAN</v>
          </cell>
          <cell r="I665" t="str">
            <v>KODE</v>
          </cell>
          <cell r="J665" t="str">
            <v>KOEF.</v>
          </cell>
          <cell r="K665" t="str">
            <v>SATUAN</v>
          </cell>
          <cell r="L665" t="str">
            <v>KET.</v>
          </cell>
        </row>
        <row r="667">
          <cell r="C667" t="str">
            <v>A.</v>
          </cell>
          <cell r="D667" t="str">
            <v xml:space="preserve"> URAIAN PERALATAN</v>
          </cell>
        </row>
        <row r="668">
          <cell r="C668">
            <v>1</v>
          </cell>
          <cell r="D668" t="str">
            <v xml:space="preserve"> Jenis Peralatan</v>
          </cell>
          <cell r="I668" t="str">
            <v>MOTOR GRADER  &gt; 100 HP</v>
          </cell>
          <cell r="L668" t="str">
            <v>E 13</v>
          </cell>
        </row>
        <row r="669">
          <cell r="C669">
            <v>2</v>
          </cell>
          <cell r="D669" t="str">
            <v xml:space="preserve"> Tenaga</v>
          </cell>
          <cell r="I669" t="str">
            <v>Pw</v>
          </cell>
          <cell r="J669">
            <v>125</v>
          </cell>
          <cell r="K669" t="str">
            <v>HP</v>
          </cell>
        </row>
        <row r="670">
          <cell r="C670">
            <v>3</v>
          </cell>
          <cell r="D670" t="str">
            <v xml:space="preserve"> Kapasitas</v>
          </cell>
          <cell r="I670" t="str">
            <v>Cp</v>
          </cell>
          <cell r="J670" t="str">
            <v xml:space="preserve">-  </v>
          </cell>
          <cell r="K670" t="str">
            <v>-</v>
          </cell>
        </row>
        <row r="671">
          <cell r="C671">
            <v>4</v>
          </cell>
          <cell r="D671" t="str">
            <v xml:space="preserve"> Alat Baru</v>
          </cell>
          <cell r="E671" t="str">
            <v>:</v>
          </cell>
          <cell r="F671" t="str">
            <v>a.</v>
          </cell>
          <cell r="G671" t="str">
            <v>Umur Ekonomis</v>
          </cell>
          <cell r="I671" t="str">
            <v>A</v>
          </cell>
          <cell r="J671">
            <v>5</v>
          </cell>
          <cell r="K671" t="str">
            <v>Tahun</v>
          </cell>
        </row>
        <row r="672">
          <cell r="F672" t="str">
            <v>b.</v>
          </cell>
          <cell r="G672" t="str">
            <v>Jam Kerja Dalam  1 Tahun</v>
          </cell>
          <cell r="I672" t="str">
            <v>W</v>
          </cell>
          <cell r="J672">
            <v>2000</v>
          </cell>
          <cell r="K672" t="str">
            <v>Jam</v>
          </cell>
        </row>
        <row r="673">
          <cell r="F673" t="str">
            <v>c.</v>
          </cell>
          <cell r="G673" t="str">
            <v>Harga Alat</v>
          </cell>
          <cell r="I673" t="str">
            <v>B</v>
          </cell>
          <cell r="J673">
            <v>660000000</v>
          </cell>
          <cell r="K673" t="str">
            <v>Rupiah</v>
          </cell>
        </row>
        <row r="674">
          <cell r="C674">
            <v>5</v>
          </cell>
          <cell r="D674" t="str">
            <v xml:space="preserve"> Alat Yang Dipakai</v>
          </cell>
          <cell r="E674" t="str">
            <v>:</v>
          </cell>
          <cell r="F674" t="str">
            <v>a.</v>
          </cell>
          <cell r="G674" t="str">
            <v>Umur Ekonomis</v>
          </cell>
          <cell r="I674" t="str">
            <v>A'</v>
          </cell>
          <cell r="J674">
            <v>5</v>
          </cell>
          <cell r="K674" t="str">
            <v>Tahun</v>
          </cell>
          <cell r="L674" t="str">
            <v>Alat Baru</v>
          </cell>
        </row>
        <row r="675">
          <cell r="F675" t="str">
            <v>b.</v>
          </cell>
          <cell r="G675" t="str">
            <v>Jam Kerja Dalam  1 Tahun</v>
          </cell>
          <cell r="I675" t="str">
            <v>W'</v>
          </cell>
          <cell r="J675">
            <v>2000</v>
          </cell>
          <cell r="K675" t="str">
            <v>Jam</v>
          </cell>
          <cell r="L675" t="str">
            <v>Alat Baru</v>
          </cell>
        </row>
        <row r="676">
          <cell r="F676" t="str">
            <v>c.</v>
          </cell>
          <cell r="G676" t="str">
            <v>Harga Alat  ( * )</v>
          </cell>
          <cell r="I676" t="str">
            <v>B'</v>
          </cell>
          <cell r="J676">
            <v>660000000</v>
          </cell>
          <cell r="K676" t="str">
            <v>Rupiah</v>
          </cell>
          <cell r="L676" t="str">
            <v>Alat Baru</v>
          </cell>
        </row>
        <row r="678">
          <cell r="C678" t="str">
            <v>B.</v>
          </cell>
          <cell r="D678" t="str">
            <v xml:space="preserve"> BIAYA PASTI PER JAM KERJA</v>
          </cell>
        </row>
        <row r="679">
          <cell r="C679">
            <v>1</v>
          </cell>
          <cell r="D679" t="str">
            <v xml:space="preserve"> Nilai Sisa Alat</v>
          </cell>
          <cell r="E679" t="str">
            <v>=  10 % x B</v>
          </cell>
          <cell r="I679" t="str">
            <v>C</v>
          </cell>
          <cell r="J679">
            <v>66000000</v>
          </cell>
          <cell r="K679" t="str">
            <v>Rupiah</v>
          </cell>
        </row>
        <row r="680">
          <cell r="C680">
            <v>2</v>
          </cell>
          <cell r="D680" t="str">
            <v xml:space="preserve"> Faktor Angsuran Modal</v>
          </cell>
          <cell r="F680" t="str">
            <v>=</v>
          </cell>
          <cell r="G680" t="str">
            <v>i x ( 1 + i ) ^ A'</v>
          </cell>
          <cell r="I680" t="str">
            <v>D</v>
          </cell>
          <cell r="J680">
            <v>0.33437970328961514</v>
          </cell>
          <cell r="K680" t="str">
            <v>-</v>
          </cell>
        </row>
        <row r="681">
          <cell r="G681" t="str">
            <v>( 1 + i ) ^ A' - 1</v>
          </cell>
        </row>
        <row r="682">
          <cell r="C682">
            <v>3</v>
          </cell>
          <cell r="D682" t="str">
            <v xml:space="preserve"> Biaya Pasti per Jam  :</v>
          </cell>
        </row>
        <row r="683">
          <cell r="D683" t="str">
            <v xml:space="preserve"> a. Biaya Pengembalian Modal</v>
          </cell>
          <cell r="F683" t="str">
            <v>=</v>
          </cell>
          <cell r="G683" t="str">
            <v>( B' - C ) x D</v>
          </cell>
          <cell r="I683" t="str">
            <v>E</v>
          </cell>
          <cell r="J683">
            <v>99310.771877015693</v>
          </cell>
          <cell r="K683" t="str">
            <v>Rupiah</v>
          </cell>
        </row>
        <row r="684">
          <cell r="G684" t="str">
            <v>W'</v>
          </cell>
        </row>
        <row r="685">
          <cell r="D685" t="str">
            <v xml:space="preserve"> b. Asuransi, dll</v>
          </cell>
          <cell r="E685" t="str">
            <v>=</v>
          </cell>
          <cell r="G685" t="str">
            <v>0,002 x B'</v>
          </cell>
          <cell r="I685" t="str">
            <v>F</v>
          </cell>
          <cell r="J685">
            <v>660</v>
          </cell>
          <cell r="K685" t="str">
            <v>Rupiah</v>
          </cell>
        </row>
        <row r="686">
          <cell r="G686" t="str">
            <v>W'</v>
          </cell>
        </row>
        <row r="687">
          <cell r="D687" t="str">
            <v xml:space="preserve"> Biaya Pasti per Jam</v>
          </cell>
          <cell r="E687" t="str">
            <v>=</v>
          </cell>
          <cell r="G687" t="str">
            <v>( E + F )</v>
          </cell>
          <cell r="I687" t="str">
            <v>G</v>
          </cell>
          <cell r="J687">
            <v>99970.771877015693</v>
          </cell>
          <cell r="K687" t="str">
            <v>Rupiah</v>
          </cell>
        </row>
        <row r="689">
          <cell r="C689" t="str">
            <v>C.</v>
          </cell>
          <cell r="D689" t="str">
            <v xml:space="preserve"> BIAYA OPERASI PER JAM KERJA</v>
          </cell>
        </row>
        <row r="690">
          <cell r="C690">
            <v>1</v>
          </cell>
          <cell r="D690" t="str">
            <v xml:space="preserve"> Bahan Bakar </v>
          </cell>
          <cell r="E690" t="str">
            <v>=</v>
          </cell>
          <cell r="F690" t="str">
            <v>(0,125 - 0,175 Ltr/HP/Jam) x Pw x Ms</v>
          </cell>
          <cell r="I690" t="str">
            <v>H</v>
          </cell>
          <cell r="J690">
            <v>67187.5</v>
          </cell>
          <cell r="K690" t="str">
            <v>Rupiah</v>
          </cell>
        </row>
        <row r="691">
          <cell r="C691">
            <v>2</v>
          </cell>
          <cell r="D691" t="str">
            <v xml:space="preserve"> Pelumas</v>
          </cell>
          <cell r="E691" t="str">
            <v>=</v>
          </cell>
          <cell r="F691" t="str">
            <v>(0,01 - 0,02 Ltr/HP/Jam) x Pw x Mp</v>
          </cell>
          <cell r="I691" t="str">
            <v>I</v>
          </cell>
          <cell r="J691">
            <v>37500</v>
          </cell>
          <cell r="K691" t="str">
            <v>Rupiah</v>
          </cell>
        </row>
        <row r="692">
          <cell r="C692">
            <v>3</v>
          </cell>
          <cell r="D692" t="str">
            <v xml:space="preserve"> Perawatan dan Perbaikan</v>
          </cell>
          <cell r="F692" t="str">
            <v>=</v>
          </cell>
          <cell r="G692" t="str">
            <v xml:space="preserve"> ( 12,5 % - 17,5 % ) x B'</v>
          </cell>
          <cell r="I692" t="str">
            <v>K</v>
          </cell>
          <cell r="J692">
            <v>41250</v>
          </cell>
          <cell r="K692" t="str">
            <v>Rupiah</v>
          </cell>
        </row>
        <row r="693">
          <cell r="G693" t="str">
            <v xml:space="preserve"> W'</v>
          </cell>
        </row>
        <row r="694">
          <cell r="C694">
            <v>4</v>
          </cell>
          <cell r="D694" t="str">
            <v xml:space="preserve"> Operator</v>
          </cell>
          <cell r="E694" t="str">
            <v>=</v>
          </cell>
          <cell r="F694" t="str">
            <v>( 1 Orang / Jam ) x U1</v>
          </cell>
          <cell r="I694" t="str">
            <v>L</v>
          </cell>
          <cell r="J694">
            <v>10750</v>
          </cell>
          <cell r="K694" t="str">
            <v>Rupiah</v>
          </cell>
        </row>
        <row r="695">
          <cell r="C695">
            <v>5</v>
          </cell>
          <cell r="D695" t="str">
            <v xml:space="preserve"> Pembantu Operator</v>
          </cell>
          <cell r="E695" t="str">
            <v>=</v>
          </cell>
          <cell r="F695" t="str">
            <v>( 1 Orang / Jam ) x U2</v>
          </cell>
          <cell r="I695" t="str">
            <v>M</v>
          </cell>
          <cell r="J695">
            <v>4500</v>
          </cell>
          <cell r="K695" t="str">
            <v>Rupiah</v>
          </cell>
        </row>
        <row r="696">
          <cell r="D696" t="str">
            <v xml:space="preserve"> Biaya Operasi Per Jam </v>
          </cell>
          <cell r="F696" t="str">
            <v>=</v>
          </cell>
          <cell r="G696" t="str">
            <v xml:space="preserve"> ( H + I + K + L + M )</v>
          </cell>
          <cell r="I696" t="str">
            <v>P</v>
          </cell>
          <cell r="J696">
            <v>161187.5</v>
          </cell>
          <cell r="K696" t="str">
            <v>Rupiah</v>
          </cell>
        </row>
        <row r="698">
          <cell r="C698" t="str">
            <v>D.</v>
          </cell>
          <cell r="D698" t="str">
            <v xml:space="preserve"> TOTAL BIAYA SEWA ALAT / JAM   =   ( G + P )</v>
          </cell>
          <cell r="I698" t="str">
            <v>S</v>
          </cell>
          <cell r="J698">
            <v>261158.27187701571</v>
          </cell>
          <cell r="K698" t="str">
            <v>Rupiah</v>
          </cell>
        </row>
        <row r="700">
          <cell r="C700" t="str">
            <v>E.</v>
          </cell>
          <cell r="D700" t="str">
            <v xml:space="preserve"> LAIN - LAIN</v>
          </cell>
        </row>
        <row r="701">
          <cell r="C701">
            <v>1</v>
          </cell>
          <cell r="D701" t="str">
            <v xml:space="preserve"> Tingkat Suku Bunga</v>
          </cell>
          <cell r="I701" t="str">
            <v>i</v>
          </cell>
          <cell r="J701">
            <v>20</v>
          </cell>
          <cell r="K701" t="str">
            <v>% / Tahun</v>
          </cell>
        </row>
        <row r="702">
          <cell r="C702">
            <v>2</v>
          </cell>
          <cell r="D702" t="str">
            <v xml:space="preserve"> Upah Operator / Sopir</v>
          </cell>
          <cell r="I702" t="str">
            <v>U1</v>
          </cell>
          <cell r="J702">
            <v>10750</v>
          </cell>
          <cell r="K702" t="str">
            <v>Rp. / Jam</v>
          </cell>
        </row>
        <row r="703">
          <cell r="C703">
            <v>3</v>
          </cell>
          <cell r="D703" t="str">
            <v xml:space="preserve"> Upah Pembantu Operator / Pembantu Sopir</v>
          </cell>
          <cell r="I703" t="str">
            <v>U2</v>
          </cell>
          <cell r="J703">
            <v>4500</v>
          </cell>
          <cell r="K703" t="str">
            <v>Rp. / Jam</v>
          </cell>
        </row>
        <row r="704">
          <cell r="C704">
            <v>4</v>
          </cell>
          <cell r="D704" t="str">
            <v xml:space="preserve"> Bahan Bakar Bensin</v>
          </cell>
          <cell r="I704" t="str">
            <v>Mb</v>
          </cell>
          <cell r="J704">
            <v>4500</v>
          </cell>
          <cell r="K704" t="str">
            <v>Liter</v>
          </cell>
        </row>
        <row r="705">
          <cell r="C705">
            <v>5</v>
          </cell>
          <cell r="D705" t="str">
            <v xml:space="preserve"> Bahan Bakar Solar</v>
          </cell>
          <cell r="I705" t="str">
            <v>Ms</v>
          </cell>
          <cell r="J705">
            <v>4300</v>
          </cell>
          <cell r="K705" t="str">
            <v>Liter</v>
          </cell>
        </row>
        <row r="706">
          <cell r="C706">
            <v>6</v>
          </cell>
          <cell r="D706" t="str">
            <v xml:space="preserve"> Minyak Pelumas</v>
          </cell>
          <cell r="I706" t="str">
            <v>Mp</v>
          </cell>
          <cell r="J706">
            <v>30000</v>
          </cell>
          <cell r="K706" t="str">
            <v>Liter</v>
          </cell>
        </row>
        <row r="707">
          <cell r="C707">
            <v>7</v>
          </cell>
          <cell r="D707" t="str">
            <v xml:space="preserve"> PPN diperhitungkan pada lembar Rekapitulasi Biaya Pekerjaan</v>
          </cell>
        </row>
        <row r="711">
          <cell r="C711" t="str">
            <v>JENIS ALAT</v>
          </cell>
          <cell r="E711" t="str">
            <v>:</v>
          </cell>
          <cell r="F711" t="str">
            <v>TRACK LOADER  75 - 100 HP</v>
          </cell>
        </row>
        <row r="712">
          <cell r="C712" t="str">
            <v>PERUSAHAAN</v>
          </cell>
          <cell r="E712" t="str">
            <v>:</v>
          </cell>
          <cell r="F712" t="str">
            <v>NAD / ACEH TENGAH</v>
          </cell>
        </row>
        <row r="714">
          <cell r="C714" t="str">
            <v>No.</v>
          </cell>
          <cell r="D714" t="str">
            <v>URAIAN</v>
          </cell>
          <cell r="I714" t="str">
            <v>KODE</v>
          </cell>
          <cell r="J714" t="str">
            <v>KOEF.</v>
          </cell>
          <cell r="K714" t="str">
            <v>SATUAN</v>
          </cell>
          <cell r="L714" t="str">
            <v>KET.</v>
          </cell>
        </row>
        <row r="716">
          <cell r="C716" t="str">
            <v>A.</v>
          </cell>
          <cell r="D716" t="str">
            <v xml:space="preserve"> URAIAN PERALATAN</v>
          </cell>
        </row>
        <row r="717">
          <cell r="C717">
            <v>1</v>
          </cell>
          <cell r="D717" t="str">
            <v xml:space="preserve"> Jenis Peralatan</v>
          </cell>
          <cell r="I717" t="str">
            <v>TRACK LOADER  75 - 100 HP</v>
          </cell>
          <cell r="L717" t="str">
            <v>E 14</v>
          </cell>
        </row>
        <row r="718">
          <cell r="C718">
            <v>2</v>
          </cell>
          <cell r="D718" t="str">
            <v xml:space="preserve"> Tenaga</v>
          </cell>
          <cell r="I718" t="str">
            <v>Pw</v>
          </cell>
          <cell r="J718">
            <v>90</v>
          </cell>
          <cell r="K718" t="str">
            <v>HP</v>
          </cell>
        </row>
        <row r="719">
          <cell r="C719">
            <v>3</v>
          </cell>
          <cell r="D719" t="str">
            <v xml:space="preserve"> Kapasitas</v>
          </cell>
          <cell r="I719" t="str">
            <v>Cp</v>
          </cell>
          <cell r="J719">
            <v>1.6</v>
          </cell>
          <cell r="K719" t="str">
            <v>M3</v>
          </cell>
        </row>
        <row r="720">
          <cell r="C720">
            <v>4</v>
          </cell>
          <cell r="D720" t="str">
            <v xml:space="preserve"> Alat Baru</v>
          </cell>
          <cell r="E720" t="str">
            <v>:</v>
          </cell>
          <cell r="F720" t="str">
            <v>a.</v>
          </cell>
          <cell r="G720" t="str">
            <v>Umur Ekonomis</v>
          </cell>
          <cell r="I720" t="str">
            <v>A</v>
          </cell>
          <cell r="J720">
            <v>5</v>
          </cell>
          <cell r="K720" t="str">
            <v>Tahun</v>
          </cell>
        </row>
        <row r="721">
          <cell r="F721" t="str">
            <v>b.</v>
          </cell>
          <cell r="G721" t="str">
            <v>Jam Kerja Dalam  1 Tahun</v>
          </cell>
          <cell r="I721" t="str">
            <v>W</v>
          </cell>
          <cell r="J721">
            <v>2000</v>
          </cell>
          <cell r="K721" t="str">
            <v>Jam</v>
          </cell>
        </row>
        <row r="722">
          <cell r="F722" t="str">
            <v>c.</v>
          </cell>
          <cell r="G722" t="str">
            <v>Harga Alat</v>
          </cell>
          <cell r="I722" t="str">
            <v>B</v>
          </cell>
          <cell r="J722">
            <v>300000000</v>
          </cell>
          <cell r="K722" t="str">
            <v>Rupiah</v>
          </cell>
        </row>
        <row r="723">
          <cell r="C723">
            <v>5</v>
          </cell>
          <cell r="D723" t="str">
            <v xml:space="preserve"> Alat Yang Dipakai</v>
          </cell>
          <cell r="E723" t="str">
            <v>:</v>
          </cell>
          <cell r="F723" t="str">
            <v>a.</v>
          </cell>
          <cell r="G723" t="str">
            <v>Umur Ekonomis</v>
          </cell>
          <cell r="I723" t="str">
            <v>A'</v>
          </cell>
          <cell r="J723">
            <v>5</v>
          </cell>
          <cell r="K723" t="str">
            <v>Tahun</v>
          </cell>
          <cell r="L723" t="str">
            <v>Alat Baru</v>
          </cell>
        </row>
        <row r="724">
          <cell r="F724" t="str">
            <v>b.</v>
          </cell>
          <cell r="G724" t="str">
            <v>Jam Kerja Dalam  1 Tahun</v>
          </cell>
          <cell r="I724" t="str">
            <v>W'</v>
          </cell>
          <cell r="J724">
            <v>2000</v>
          </cell>
          <cell r="K724" t="str">
            <v>Jam</v>
          </cell>
          <cell r="L724" t="str">
            <v>Alat Baru</v>
          </cell>
        </row>
        <row r="725">
          <cell r="F725" t="str">
            <v>c.</v>
          </cell>
          <cell r="G725" t="str">
            <v>Harga Alat  ( * )</v>
          </cell>
          <cell r="I725" t="str">
            <v>B'</v>
          </cell>
          <cell r="J725">
            <v>300000000</v>
          </cell>
          <cell r="K725" t="str">
            <v>Rupiah</v>
          </cell>
          <cell r="L725" t="str">
            <v>Alat Baru</v>
          </cell>
        </row>
        <row r="727">
          <cell r="C727" t="str">
            <v>B.</v>
          </cell>
          <cell r="D727" t="str">
            <v xml:space="preserve"> BIAYA PASTI PER JAM KERJA</v>
          </cell>
        </row>
        <row r="728">
          <cell r="C728">
            <v>1</v>
          </cell>
          <cell r="D728" t="str">
            <v xml:space="preserve"> Nilai Sisa Alat</v>
          </cell>
          <cell r="E728" t="str">
            <v>=  10 % x B</v>
          </cell>
          <cell r="I728" t="str">
            <v>C</v>
          </cell>
          <cell r="J728">
            <v>30000000</v>
          </cell>
          <cell r="K728" t="str">
            <v>Rupiah</v>
          </cell>
        </row>
        <row r="729">
          <cell r="C729">
            <v>2</v>
          </cell>
          <cell r="D729" t="str">
            <v xml:space="preserve"> Faktor Angsuran Modal</v>
          </cell>
          <cell r="F729" t="str">
            <v>=</v>
          </cell>
          <cell r="G729" t="str">
            <v>i x ( 1 + i ) ^ A'</v>
          </cell>
          <cell r="I729" t="str">
            <v>D</v>
          </cell>
          <cell r="J729">
            <v>0.33437970328961514</v>
          </cell>
          <cell r="K729" t="str">
            <v>-</v>
          </cell>
        </row>
        <row r="730">
          <cell r="G730" t="str">
            <v>( 1 + i ) ^ A' - 1</v>
          </cell>
        </row>
        <row r="731">
          <cell r="C731">
            <v>3</v>
          </cell>
          <cell r="D731" t="str">
            <v xml:space="preserve"> Biaya Pasti per Jam  :</v>
          </cell>
        </row>
        <row r="732">
          <cell r="D732" t="str">
            <v xml:space="preserve"> a. Biaya Pengembalian Modal</v>
          </cell>
          <cell r="F732" t="str">
            <v>=</v>
          </cell>
          <cell r="G732" t="str">
            <v>( B' - C ) x D</v>
          </cell>
          <cell r="I732" t="str">
            <v>E</v>
          </cell>
          <cell r="J732">
            <v>45141.259944098041</v>
          </cell>
          <cell r="K732" t="str">
            <v>Rupiah</v>
          </cell>
        </row>
        <row r="733">
          <cell r="G733" t="str">
            <v>W'</v>
          </cell>
        </row>
        <row r="734">
          <cell r="D734" t="str">
            <v xml:space="preserve"> b. Asuransi, dll</v>
          </cell>
          <cell r="E734" t="str">
            <v>=</v>
          </cell>
          <cell r="G734" t="str">
            <v>0,002 x B'</v>
          </cell>
          <cell r="I734" t="str">
            <v>F</v>
          </cell>
          <cell r="J734">
            <v>300</v>
          </cell>
          <cell r="K734" t="str">
            <v>Rupiah</v>
          </cell>
        </row>
        <row r="735">
          <cell r="G735" t="str">
            <v>W'</v>
          </cell>
        </row>
        <row r="736">
          <cell r="D736" t="str">
            <v xml:space="preserve"> Biaya Pasti per Jam</v>
          </cell>
          <cell r="E736" t="str">
            <v>=</v>
          </cell>
          <cell r="G736" t="str">
            <v>( E + F )</v>
          </cell>
          <cell r="I736" t="str">
            <v>G</v>
          </cell>
          <cell r="J736">
            <v>45441.259944098041</v>
          </cell>
          <cell r="K736" t="str">
            <v>Rupiah</v>
          </cell>
        </row>
        <row r="738">
          <cell r="C738" t="str">
            <v>C.</v>
          </cell>
          <cell r="D738" t="str">
            <v xml:space="preserve"> BIAYA OPERASI PER JAM KERJA</v>
          </cell>
        </row>
        <row r="739">
          <cell r="C739">
            <v>1</v>
          </cell>
          <cell r="D739" t="str">
            <v xml:space="preserve"> Bahan Bakar </v>
          </cell>
          <cell r="E739" t="str">
            <v>=</v>
          </cell>
          <cell r="F739" t="str">
            <v>(0,125 - 0,175 Ltr/HP/Jam) x Pw x Ms</v>
          </cell>
          <cell r="I739" t="str">
            <v>H</v>
          </cell>
          <cell r="J739">
            <v>48375</v>
          </cell>
          <cell r="K739" t="str">
            <v>Rupiah</v>
          </cell>
        </row>
        <row r="740">
          <cell r="C740">
            <v>2</v>
          </cell>
          <cell r="D740" t="str">
            <v xml:space="preserve"> Pelumas</v>
          </cell>
          <cell r="E740" t="str">
            <v>=</v>
          </cell>
          <cell r="F740" t="str">
            <v>(0,01 - 0,02 Ltr/HP/Jam) x Pw x Mp</v>
          </cell>
          <cell r="I740" t="str">
            <v>I</v>
          </cell>
          <cell r="J740">
            <v>27000</v>
          </cell>
          <cell r="K740" t="str">
            <v>Rupiah</v>
          </cell>
        </row>
        <row r="741">
          <cell r="C741">
            <v>3</v>
          </cell>
          <cell r="D741" t="str">
            <v xml:space="preserve"> Perawatan dan Perbaikan</v>
          </cell>
          <cell r="F741" t="str">
            <v>=</v>
          </cell>
          <cell r="G741" t="str">
            <v xml:space="preserve"> ( 12,5 % - 17,5 % ) x B'</v>
          </cell>
          <cell r="I741" t="str">
            <v>K</v>
          </cell>
          <cell r="J741">
            <v>18750</v>
          </cell>
          <cell r="K741" t="str">
            <v>Rupiah</v>
          </cell>
        </row>
        <row r="742">
          <cell r="G742" t="str">
            <v xml:space="preserve"> W'</v>
          </cell>
        </row>
        <row r="743">
          <cell r="C743">
            <v>4</v>
          </cell>
          <cell r="D743" t="str">
            <v xml:space="preserve"> Operator</v>
          </cell>
          <cell r="E743" t="str">
            <v>=</v>
          </cell>
          <cell r="F743" t="str">
            <v>( 1 Orang / Jam ) x U1</v>
          </cell>
          <cell r="I743" t="str">
            <v>L</v>
          </cell>
          <cell r="J743">
            <v>10750</v>
          </cell>
          <cell r="K743" t="str">
            <v>Rupiah</v>
          </cell>
        </row>
        <row r="744">
          <cell r="C744">
            <v>5</v>
          </cell>
          <cell r="D744" t="str">
            <v xml:space="preserve"> Pembantu Operator</v>
          </cell>
          <cell r="E744" t="str">
            <v>=</v>
          </cell>
          <cell r="F744" t="str">
            <v>( 1 Orang / Jam ) x U2</v>
          </cell>
          <cell r="I744" t="str">
            <v>M</v>
          </cell>
          <cell r="J744">
            <v>4500</v>
          </cell>
          <cell r="K744" t="str">
            <v>Rupiah</v>
          </cell>
        </row>
        <row r="745">
          <cell r="D745" t="str">
            <v xml:space="preserve"> Biaya Operasi Per Jam </v>
          </cell>
          <cell r="F745" t="str">
            <v>=</v>
          </cell>
          <cell r="G745" t="str">
            <v xml:space="preserve"> ( H + I + K + L + M )</v>
          </cell>
          <cell r="I745" t="str">
            <v>P</v>
          </cell>
          <cell r="J745">
            <v>109375</v>
          </cell>
          <cell r="K745" t="str">
            <v>Rupiah</v>
          </cell>
        </row>
        <row r="747">
          <cell r="C747" t="str">
            <v>D.</v>
          </cell>
          <cell r="D747" t="str">
            <v xml:space="preserve"> TOTAL BIAYA SEWA ALAT / JAM   =   ( G + P )</v>
          </cell>
          <cell r="I747" t="str">
            <v>S</v>
          </cell>
          <cell r="J747">
            <v>154816.25994409804</v>
          </cell>
          <cell r="K747" t="str">
            <v>Rupiah</v>
          </cell>
        </row>
        <row r="749">
          <cell r="C749" t="str">
            <v>E.</v>
          </cell>
          <cell r="D749" t="str">
            <v xml:space="preserve"> LAIN - LAIN</v>
          </cell>
        </row>
        <row r="750">
          <cell r="C750">
            <v>1</v>
          </cell>
          <cell r="D750" t="str">
            <v xml:space="preserve"> Tingkat Suku Bunga</v>
          </cell>
          <cell r="I750" t="str">
            <v>i</v>
          </cell>
          <cell r="J750">
            <v>20</v>
          </cell>
          <cell r="K750" t="str">
            <v>% / Tahun</v>
          </cell>
        </row>
        <row r="751">
          <cell r="C751">
            <v>2</v>
          </cell>
          <cell r="D751" t="str">
            <v xml:space="preserve"> Upah Operator / Sopir</v>
          </cell>
          <cell r="I751" t="str">
            <v>U1</v>
          </cell>
          <cell r="J751">
            <v>10750</v>
          </cell>
          <cell r="K751" t="str">
            <v>Rp. / Jam</v>
          </cell>
        </row>
        <row r="752">
          <cell r="C752">
            <v>3</v>
          </cell>
          <cell r="D752" t="str">
            <v xml:space="preserve"> Upah Pembantu Operator / Pembantu Sopir</v>
          </cell>
          <cell r="I752" t="str">
            <v>U2</v>
          </cell>
          <cell r="J752">
            <v>4500</v>
          </cell>
          <cell r="K752" t="str">
            <v>Rp. / Jam</v>
          </cell>
        </row>
        <row r="753">
          <cell r="C753">
            <v>4</v>
          </cell>
          <cell r="D753" t="str">
            <v xml:space="preserve"> Bahan Bakar Bensin</v>
          </cell>
          <cell r="I753" t="str">
            <v>Mb</v>
          </cell>
          <cell r="J753">
            <v>4500</v>
          </cell>
          <cell r="K753" t="str">
            <v>Liter</v>
          </cell>
        </row>
        <row r="754">
          <cell r="C754">
            <v>5</v>
          </cell>
          <cell r="D754" t="str">
            <v xml:space="preserve"> Bahan Bakar Solar</v>
          </cell>
          <cell r="I754" t="str">
            <v>Ms</v>
          </cell>
          <cell r="J754">
            <v>4300</v>
          </cell>
          <cell r="K754" t="str">
            <v>Liter</v>
          </cell>
        </row>
        <row r="755">
          <cell r="C755">
            <v>6</v>
          </cell>
          <cell r="D755" t="str">
            <v xml:space="preserve"> Minyak Pelumas</v>
          </cell>
          <cell r="I755" t="str">
            <v>Mp</v>
          </cell>
          <cell r="J755">
            <v>30000</v>
          </cell>
          <cell r="K755" t="str">
            <v>Liter</v>
          </cell>
        </row>
        <row r="756">
          <cell r="C756">
            <v>7</v>
          </cell>
          <cell r="D756" t="str">
            <v xml:space="preserve"> PPN diperhitungkan pada lembar Rekapitulasi Biaya Pekerjaan</v>
          </cell>
        </row>
        <row r="760">
          <cell r="C760" t="str">
            <v>JENIS ALAT</v>
          </cell>
          <cell r="E760" t="str">
            <v>:</v>
          </cell>
          <cell r="F760" t="str">
            <v>WHEEL LOADER  1,0 - 1,6 M3</v>
          </cell>
        </row>
        <row r="761">
          <cell r="C761" t="str">
            <v>PERUSAHAAN</v>
          </cell>
          <cell r="E761" t="str">
            <v>:</v>
          </cell>
          <cell r="F761" t="str">
            <v>NAD / ACEH TENGAH</v>
          </cell>
        </row>
        <row r="763">
          <cell r="C763" t="str">
            <v>No.</v>
          </cell>
          <cell r="D763" t="str">
            <v>URAIAN</v>
          </cell>
          <cell r="I763" t="str">
            <v>KODE</v>
          </cell>
          <cell r="J763" t="str">
            <v>KOEF.</v>
          </cell>
          <cell r="K763" t="str">
            <v>SATUAN</v>
          </cell>
          <cell r="L763" t="str">
            <v>KET.</v>
          </cell>
        </row>
        <row r="765">
          <cell r="C765" t="str">
            <v>A.</v>
          </cell>
          <cell r="D765" t="str">
            <v xml:space="preserve"> URAIAN PERALATAN</v>
          </cell>
        </row>
        <row r="766">
          <cell r="C766">
            <v>1</v>
          </cell>
          <cell r="D766" t="str">
            <v xml:space="preserve"> Jenis Peralatan</v>
          </cell>
          <cell r="I766" t="str">
            <v>WHEEL LOADER  1,0 - 1,6 M3</v>
          </cell>
          <cell r="L766" t="str">
            <v>E 15</v>
          </cell>
        </row>
        <row r="767">
          <cell r="C767">
            <v>2</v>
          </cell>
          <cell r="D767" t="str">
            <v xml:space="preserve"> Tenaga</v>
          </cell>
          <cell r="I767" t="str">
            <v>Pw</v>
          </cell>
          <cell r="J767">
            <v>105</v>
          </cell>
          <cell r="K767" t="str">
            <v>HP</v>
          </cell>
        </row>
        <row r="768">
          <cell r="C768">
            <v>3</v>
          </cell>
          <cell r="D768" t="str">
            <v xml:space="preserve"> Kapasitas</v>
          </cell>
          <cell r="I768" t="str">
            <v>Cp</v>
          </cell>
          <cell r="J768">
            <v>1.5</v>
          </cell>
          <cell r="K768" t="str">
            <v>M3</v>
          </cell>
        </row>
        <row r="769">
          <cell r="C769">
            <v>4</v>
          </cell>
          <cell r="D769" t="str">
            <v xml:space="preserve"> Alat Baru</v>
          </cell>
          <cell r="E769" t="str">
            <v>:</v>
          </cell>
          <cell r="F769" t="str">
            <v>a.</v>
          </cell>
          <cell r="G769" t="str">
            <v>Umur Ekonomis</v>
          </cell>
          <cell r="I769" t="str">
            <v>A</v>
          </cell>
          <cell r="J769">
            <v>5</v>
          </cell>
          <cell r="K769" t="str">
            <v>Tahun</v>
          </cell>
        </row>
        <row r="770">
          <cell r="F770" t="str">
            <v>b.</v>
          </cell>
          <cell r="G770" t="str">
            <v>Jam Kerja Dalam  1 Tahun</v>
          </cell>
          <cell r="I770" t="str">
            <v>W</v>
          </cell>
          <cell r="J770">
            <v>2000</v>
          </cell>
          <cell r="K770" t="str">
            <v>Jam</v>
          </cell>
        </row>
        <row r="771">
          <cell r="F771" t="str">
            <v>c.</v>
          </cell>
          <cell r="G771" t="str">
            <v>Harga Alat</v>
          </cell>
          <cell r="I771" t="str">
            <v>B</v>
          </cell>
          <cell r="J771">
            <v>715000000</v>
          </cell>
          <cell r="K771" t="str">
            <v>Rupiah</v>
          </cell>
        </row>
        <row r="772">
          <cell r="C772">
            <v>5</v>
          </cell>
          <cell r="D772" t="str">
            <v xml:space="preserve"> Alat Yang Dipakai</v>
          </cell>
          <cell r="E772" t="str">
            <v>:</v>
          </cell>
          <cell r="F772" t="str">
            <v>a.</v>
          </cell>
          <cell r="G772" t="str">
            <v>Umur Ekonomis</v>
          </cell>
          <cell r="I772" t="str">
            <v>A'</v>
          </cell>
          <cell r="J772">
            <v>5</v>
          </cell>
          <cell r="K772" t="str">
            <v>Tahun</v>
          </cell>
          <cell r="L772" t="str">
            <v>Alat Baru</v>
          </cell>
        </row>
        <row r="773">
          <cell r="F773" t="str">
            <v>b.</v>
          </cell>
          <cell r="G773" t="str">
            <v>Jam Kerja Dalam  1 Tahun</v>
          </cell>
          <cell r="I773" t="str">
            <v>W'</v>
          </cell>
          <cell r="J773">
            <v>2000</v>
          </cell>
          <cell r="K773" t="str">
            <v>Jam</v>
          </cell>
          <cell r="L773" t="str">
            <v>Alat Baru</v>
          </cell>
        </row>
        <row r="774">
          <cell r="F774" t="str">
            <v>c.</v>
          </cell>
          <cell r="G774" t="str">
            <v>Harga Alat  ( * )</v>
          </cell>
          <cell r="I774" t="str">
            <v>B'</v>
          </cell>
          <cell r="J774">
            <v>715000000</v>
          </cell>
          <cell r="K774" t="str">
            <v>Rupiah</v>
          </cell>
          <cell r="L774" t="str">
            <v>Alat Baru</v>
          </cell>
        </row>
        <row r="776">
          <cell r="C776" t="str">
            <v>B.</v>
          </cell>
          <cell r="D776" t="str">
            <v xml:space="preserve"> BIAYA PASTI PER JAM KERJA</v>
          </cell>
        </row>
        <row r="777">
          <cell r="C777">
            <v>1</v>
          </cell>
          <cell r="D777" t="str">
            <v xml:space="preserve"> Nilai Sisa Alat</v>
          </cell>
          <cell r="E777" t="str">
            <v>=  10 % x B</v>
          </cell>
          <cell r="I777" t="str">
            <v>C</v>
          </cell>
          <cell r="J777">
            <v>71500000</v>
          </cell>
          <cell r="K777" t="str">
            <v>Rupiah</v>
          </cell>
        </row>
        <row r="778">
          <cell r="C778">
            <v>2</v>
          </cell>
          <cell r="D778" t="str">
            <v xml:space="preserve"> Faktor Angsuran Modal</v>
          </cell>
          <cell r="F778" t="str">
            <v>=</v>
          </cell>
          <cell r="G778" t="str">
            <v>i x ( 1 + i ) ^ A'</v>
          </cell>
          <cell r="I778" t="str">
            <v>D</v>
          </cell>
          <cell r="J778">
            <v>0.33437970328961514</v>
          </cell>
          <cell r="K778" t="str">
            <v>-</v>
          </cell>
        </row>
        <row r="779">
          <cell r="G779" t="str">
            <v>( 1 + i ) ^ A' - 1</v>
          </cell>
        </row>
        <row r="780">
          <cell r="C780">
            <v>3</v>
          </cell>
          <cell r="D780" t="str">
            <v xml:space="preserve"> Biaya Pasti per Jam  :</v>
          </cell>
        </row>
        <row r="781">
          <cell r="D781" t="str">
            <v xml:space="preserve"> a. Biaya Pengembalian Modal</v>
          </cell>
          <cell r="F781" t="str">
            <v>=</v>
          </cell>
          <cell r="G781" t="str">
            <v>( B' - C ) x D</v>
          </cell>
          <cell r="I781" t="str">
            <v>E</v>
          </cell>
          <cell r="J781">
            <v>107586.66953343367</v>
          </cell>
          <cell r="K781" t="str">
            <v>Rupiah</v>
          </cell>
        </row>
        <row r="782">
          <cell r="G782" t="str">
            <v>W'</v>
          </cell>
        </row>
        <row r="783">
          <cell r="D783" t="str">
            <v xml:space="preserve"> b. Asuransi, dll</v>
          </cell>
          <cell r="E783" t="str">
            <v>=</v>
          </cell>
          <cell r="G783" t="str">
            <v>0,002 x B'</v>
          </cell>
          <cell r="I783" t="str">
            <v>F</v>
          </cell>
          <cell r="J783">
            <v>715</v>
          </cell>
          <cell r="K783" t="str">
            <v>Rupiah</v>
          </cell>
        </row>
        <row r="784">
          <cell r="G784" t="str">
            <v>W'</v>
          </cell>
        </row>
        <row r="785">
          <cell r="D785" t="str">
            <v xml:space="preserve"> Biaya Pasti per Jam</v>
          </cell>
          <cell r="E785" t="str">
            <v>=</v>
          </cell>
          <cell r="G785" t="str">
            <v>( E + F )</v>
          </cell>
          <cell r="I785" t="str">
            <v>G</v>
          </cell>
          <cell r="J785">
            <v>108301.66953343367</v>
          </cell>
          <cell r="K785" t="str">
            <v>Rupiah</v>
          </cell>
        </row>
        <row r="787">
          <cell r="C787" t="str">
            <v>C.</v>
          </cell>
          <cell r="D787" t="str">
            <v xml:space="preserve"> BIAYA OPERASI PER JAM KERJA</v>
          </cell>
        </row>
        <row r="788">
          <cell r="C788">
            <v>1</v>
          </cell>
          <cell r="D788" t="str">
            <v xml:space="preserve"> Bahan Bakar </v>
          </cell>
          <cell r="E788" t="str">
            <v>=</v>
          </cell>
          <cell r="F788" t="str">
            <v>(0,125 - 0,175 Ltr/HP/Jam) x Pw x Ms</v>
          </cell>
          <cell r="I788" t="str">
            <v>H</v>
          </cell>
          <cell r="J788">
            <v>56437.5</v>
          </cell>
          <cell r="K788" t="str">
            <v>Rupiah</v>
          </cell>
        </row>
        <row r="789">
          <cell r="C789">
            <v>2</v>
          </cell>
          <cell r="D789" t="str">
            <v xml:space="preserve"> Pelumas</v>
          </cell>
          <cell r="E789" t="str">
            <v>=</v>
          </cell>
          <cell r="F789" t="str">
            <v>(0,01 - 0,02 Ltr/HP/Jam) x Pw x Mp</v>
          </cell>
          <cell r="I789" t="str">
            <v>I</v>
          </cell>
          <cell r="J789">
            <v>31500</v>
          </cell>
          <cell r="K789" t="str">
            <v>Rupiah</v>
          </cell>
        </row>
        <row r="790">
          <cell r="C790">
            <v>3</v>
          </cell>
          <cell r="D790" t="str">
            <v xml:space="preserve"> Perawatan dan Perbaikan</v>
          </cell>
          <cell r="F790" t="str">
            <v>=</v>
          </cell>
          <cell r="G790" t="str">
            <v xml:space="preserve"> ( 12,5 % - 17,5 % ) x B'</v>
          </cell>
          <cell r="I790" t="str">
            <v>K</v>
          </cell>
          <cell r="J790">
            <v>44687.5</v>
          </cell>
          <cell r="K790" t="str">
            <v>Rupiah</v>
          </cell>
        </row>
        <row r="791">
          <cell r="G791" t="str">
            <v xml:space="preserve"> W'</v>
          </cell>
        </row>
        <row r="792">
          <cell r="C792">
            <v>4</v>
          </cell>
          <cell r="D792" t="str">
            <v xml:space="preserve"> Operator</v>
          </cell>
          <cell r="E792" t="str">
            <v>=</v>
          </cell>
          <cell r="F792" t="str">
            <v>( 1 Orang / Jam ) x U1</v>
          </cell>
          <cell r="I792" t="str">
            <v>L</v>
          </cell>
          <cell r="J792">
            <v>10750</v>
          </cell>
          <cell r="K792" t="str">
            <v>Rupiah</v>
          </cell>
        </row>
        <row r="793">
          <cell r="C793">
            <v>5</v>
          </cell>
          <cell r="D793" t="str">
            <v xml:space="preserve"> Pembantu Operator</v>
          </cell>
          <cell r="E793" t="str">
            <v>=</v>
          </cell>
          <cell r="F793" t="str">
            <v>( 1 Orang / Jam ) x U2</v>
          </cell>
          <cell r="I793" t="str">
            <v>M</v>
          </cell>
          <cell r="J793">
            <v>4500</v>
          </cell>
          <cell r="K793" t="str">
            <v>Rupiah</v>
          </cell>
        </row>
        <row r="794">
          <cell r="D794" t="str">
            <v xml:space="preserve"> Biaya Operasi Per Jam </v>
          </cell>
          <cell r="F794" t="str">
            <v>=</v>
          </cell>
          <cell r="G794" t="str">
            <v xml:space="preserve"> ( H + I + K + L + M )</v>
          </cell>
          <cell r="I794" t="str">
            <v>P</v>
          </cell>
          <cell r="J794">
            <v>147875</v>
          </cell>
          <cell r="K794" t="str">
            <v>Rupiah</v>
          </cell>
        </row>
        <row r="796">
          <cell r="C796" t="str">
            <v>D.</v>
          </cell>
          <cell r="D796" t="str">
            <v xml:space="preserve"> TOTAL BIAYA SEWA ALAT / JAM   =   ( G + P )</v>
          </cell>
          <cell r="I796" t="str">
            <v>S</v>
          </cell>
          <cell r="J796">
            <v>256176.66953343368</v>
          </cell>
          <cell r="K796" t="str">
            <v>Rupiah</v>
          </cell>
        </row>
        <row r="798">
          <cell r="C798" t="str">
            <v>E.</v>
          </cell>
          <cell r="D798" t="str">
            <v xml:space="preserve"> LAIN - LAIN</v>
          </cell>
        </row>
        <row r="799">
          <cell r="C799">
            <v>1</v>
          </cell>
          <cell r="D799" t="str">
            <v xml:space="preserve"> Tingkat Suku Bunga</v>
          </cell>
          <cell r="I799" t="str">
            <v>i</v>
          </cell>
          <cell r="J799">
            <v>20</v>
          </cell>
          <cell r="K799" t="str">
            <v>% / Tahun</v>
          </cell>
        </row>
        <row r="800">
          <cell r="C800">
            <v>2</v>
          </cell>
          <cell r="D800" t="str">
            <v xml:space="preserve"> Upah Operator / Sopir</v>
          </cell>
          <cell r="I800" t="str">
            <v>U1</v>
          </cell>
          <cell r="J800">
            <v>10750</v>
          </cell>
          <cell r="K800" t="str">
            <v>Rp. / Jam</v>
          </cell>
        </row>
        <row r="801">
          <cell r="C801">
            <v>3</v>
          </cell>
          <cell r="D801" t="str">
            <v xml:space="preserve"> Upah Pembantu Operator / Pembantu Sopir</v>
          </cell>
          <cell r="I801" t="str">
            <v>U2</v>
          </cell>
          <cell r="J801">
            <v>4500</v>
          </cell>
          <cell r="K801" t="str">
            <v>Rp. / Jam</v>
          </cell>
        </row>
        <row r="802">
          <cell r="C802">
            <v>4</v>
          </cell>
          <cell r="D802" t="str">
            <v xml:space="preserve"> Bahan Bakar Bensin</v>
          </cell>
          <cell r="I802" t="str">
            <v>Mb</v>
          </cell>
          <cell r="J802">
            <v>4500</v>
          </cell>
          <cell r="K802" t="str">
            <v>Liter</v>
          </cell>
        </row>
        <row r="803">
          <cell r="C803">
            <v>5</v>
          </cell>
          <cell r="D803" t="str">
            <v xml:space="preserve"> Bahan Bakar Solar</v>
          </cell>
          <cell r="I803" t="str">
            <v>Ms</v>
          </cell>
          <cell r="J803">
            <v>4300</v>
          </cell>
          <cell r="K803" t="str">
            <v>Liter</v>
          </cell>
        </row>
        <row r="804">
          <cell r="C804">
            <v>6</v>
          </cell>
          <cell r="D804" t="str">
            <v xml:space="preserve"> Minyak Pelumas</v>
          </cell>
          <cell r="I804" t="str">
            <v>Mp</v>
          </cell>
          <cell r="J804">
            <v>30000</v>
          </cell>
          <cell r="K804" t="str">
            <v>Liter</v>
          </cell>
        </row>
        <row r="805">
          <cell r="C805">
            <v>7</v>
          </cell>
          <cell r="D805" t="str">
            <v xml:space="preserve"> PPN diperhitungkan pada lembar Rekapitulasi Biaya Pekerjaan.</v>
          </cell>
        </row>
        <row r="809">
          <cell r="C809" t="str">
            <v>JENIS ALAT</v>
          </cell>
          <cell r="E809" t="str">
            <v>:</v>
          </cell>
          <cell r="F809" t="str">
            <v>THREE WHEEL ROLLER  6 - 8 T</v>
          </cell>
        </row>
        <row r="810">
          <cell r="C810" t="str">
            <v>PERUSAHAAN</v>
          </cell>
          <cell r="E810" t="str">
            <v>:</v>
          </cell>
          <cell r="F810" t="str">
            <v>NAD / ACEH TENGAH</v>
          </cell>
        </row>
        <row r="812">
          <cell r="C812" t="str">
            <v>No.</v>
          </cell>
          <cell r="D812" t="str">
            <v>URAIAN</v>
          </cell>
          <cell r="I812" t="str">
            <v>KODE</v>
          </cell>
          <cell r="J812" t="str">
            <v>KOEF.</v>
          </cell>
          <cell r="K812" t="str">
            <v>SATUAN</v>
          </cell>
          <cell r="L812" t="str">
            <v>KET.</v>
          </cell>
        </row>
        <row r="814">
          <cell r="C814" t="str">
            <v>A.</v>
          </cell>
          <cell r="D814" t="str">
            <v xml:space="preserve"> URAIAN PERALATAN</v>
          </cell>
        </row>
        <row r="815">
          <cell r="C815">
            <v>1</v>
          </cell>
          <cell r="D815" t="str">
            <v xml:space="preserve"> Jenis Peralatan</v>
          </cell>
          <cell r="I815" t="str">
            <v>THREE WHEEL ROLLER  6 - 8 T</v>
          </cell>
          <cell r="L815" t="str">
            <v>E 16</v>
          </cell>
        </row>
        <row r="816">
          <cell r="C816">
            <v>2</v>
          </cell>
          <cell r="D816" t="str">
            <v xml:space="preserve"> Tenaga</v>
          </cell>
          <cell r="I816" t="str">
            <v>Pw</v>
          </cell>
          <cell r="J816">
            <v>55</v>
          </cell>
          <cell r="K816" t="str">
            <v>HP</v>
          </cell>
        </row>
        <row r="817">
          <cell r="C817">
            <v>3</v>
          </cell>
          <cell r="D817" t="str">
            <v xml:space="preserve"> Kapasitas</v>
          </cell>
          <cell r="I817" t="str">
            <v>Cp</v>
          </cell>
          <cell r="J817">
            <v>8</v>
          </cell>
          <cell r="K817" t="str">
            <v>Ton</v>
          </cell>
        </row>
        <row r="818">
          <cell r="C818">
            <v>4</v>
          </cell>
          <cell r="D818" t="str">
            <v xml:space="preserve"> Alat Baru</v>
          </cell>
          <cell r="E818" t="str">
            <v>:</v>
          </cell>
          <cell r="F818" t="str">
            <v>a.</v>
          </cell>
          <cell r="G818" t="str">
            <v>Umur Ekonomis</v>
          </cell>
          <cell r="I818" t="str">
            <v>A</v>
          </cell>
          <cell r="J818">
            <v>5</v>
          </cell>
          <cell r="K818" t="str">
            <v>Tahun</v>
          </cell>
        </row>
        <row r="819">
          <cell r="F819" t="str">
            <v>b.</v>
          </cell>
          <cell r="G819" t="str">
            <v>Jam Kerja Dalam  1 Tahun</v>
          </cell>
          <cell r="I819" t="str">
            <v>W</v>
          </cell>
          <cell r="J819">
            <v>2000</v>
          </cell>
          <cell r="K819" t="str">
            <v>Jam</v>
          </cell>
        </row>
        <row r="820">
          <cell r="F820" t="str">
            <v>c.</v>
          </cell>
          <cell r="G820" t="str">
            <v>Harga Alat</v>
          </cell>
          <cell r="I820" t="str">
            <v>B</v>
          </cell>
          <cell r="J820">
            <v>264000000</v>
          </cell>
          <cell r="K820" t="str">
            <v>Rupiah</v>
          </cell>
        </row>
        <row r="821">
          <cell r="C821">
            <v>5</v>
          </cell>
          <cell r="D821" t="str">
            <v xml:space="preserve"> Alat Yang Dipakai</v>
          </cell>
          <cell r="E821" t="str">
            <v>:</v>
          </cell>
          <cell r="F821" t="str">
            <v>a.</v>
          </cell>
          <cell r="G821" t="str">
            <v>Umur Ekonomis</v>
          </cell>
          <cell r="I821" t="str">
            <v>A'</v>
          </cell>
          <cell r="J821">
            <v>5</v>
          </cell>
          <cell r="K821" t="str">
            <v>Tahun</v>
          </cell>
          <cell r="L821" t="str">
            <v>Alat Baru</v>
          </cell>
        </row>
        <row r="822">
          <cell r="F822" t="str">
            <v>b.</v>
          </cell>
          <cell r="G822" t="str">
            <v>Jam Kerja Dalam  1 Tahun</v>
          </cell>
          <cell r="I822" t="str">
            <v>W'</v>
          </cell>
          <cell r="J822">
            <v>2000</v>
          </cell>
          <cell r="K822" t="str">
            <v>Jam</v>
          </cell>
          <cell r="L822" t="str">
            <v>Alat Baru</v>
          </cell>
        </row>
        <row r="823">
          <cell r="F823" t="str">
            <v>c.</v>
          </cell>
          <cell r="G823" t="str">
            <v>Harga Alat  ( * )</v>
          </cell>
          <cell r="I823" t="str">
            <v>B'</v>
          </cell>
          <cell r="J823">
            <v>264000000</v>
          </cell>
          <cell r="K823" t="str">
            <v>Rupiah</v>
          </cell>
          <cell r="L823" t="str">
            <v>Alat Baru</v>
          </cell>
        </row>
        <row r="825">
          <cell r="C825" t="str">
            <v>B.</v>
          </cell>
          <cell r="D825" t="str">
            <v xml:space="preserve"> BIAYA PASTI PER JAM KERJA</v>
          </cell>
        </row>
        <row r="826">
          <cell r="C826">
            <v>1</v>
          </cell>
          <cell r="D826" t="str">
            <v xml:space="preserve"> Nilai Sisa Alat</v>
          </cell>
          <cell r="E826" t="str">
            <v>=  10 % x B</v>
          </cell>
          <cell r="I826" t="str">
            <v>C</v>
          </cell>
          <cell r="J826">
            <v>26400000</v>
          </cell>
          <cell r="K826" t="str">
            <v>Rupiah</v>
          </cell>
        </row>
        <row r="827">
          <cell r="C827">
            <v>2</v>
          </cell>
          <cell r="D827" t="str">
            <v xml:space="preserve"> Faktor Angsuran Modal</v>
          </cell>
          <cell r="F827" t="str">
            <v>=</v>
          </cell>
          <cell r="G827" t="str">
            <v>i x ( 1 + i ) ^ A'</v>
          </cell>
          <cell r="I827" t="str">
            <v>D</v>
          </cell>
          <cell r="J827">
            <v>0.33437970328961514</v>
          </cell>
          <cell r="K827" t="str">
            <v>-</v>
          </cell>
        </row>
        <row r="828">
          <cell r="G828" t="str">
            <v>( 1 + i ) ^ A' - 1</v>
          </cell>
        </row>
        <row r="829">
          <cell r="C829">
            <v>3</v>
          </cell>
          <cell r="D829" t="str">
            <v xml:space="preserve"> Biaya Pasti per Jam  :</v>
          </cell>
        </row>
        <row r="830">
          <cell r="D830" t="str">
            <v xml:space="preserve"> a. Biaya Pengembalian Modal</v>
          </cell>
          <cell r="F830" t="str">
            <v>=</v>
          </cell>
          <cell r="G830" t="str">
            <v>( B' - C ) x D</v>
          </cell>
          <cell r="I830" t="str">
            <v>E</v>
          </cell>
          <cell r="J830">
            <v>39724.308750806282</v>
          </cell>
          <cell r="K830" t="str">
            <v>Rupiah</v>
          </cell>
        </row>
        <row r="831">
          <cell r="G831" t="str">
            <v>W'</v>
          </cell>
        </row>
        <row r="832">
          <cell r="D832" t="str">
            <v xml:space="preserve"> b. Asuransi, dll</v>
          </cell>
          <cell r="E832" t="str">
            <v>=</v>
          </cell>
          <cell r="G832" t="str">
            <v>0,002 x B'</v>
          </cell>
          <cell r="I832" t="str">
            <v>F</v>
          </cell>
          <cell r="J832">
            <v>264</v>
          </cell>
          <cell r="K832" t="str">
            <v>Rupiah</v>
          </cell>
        </row>
        <row r="833">
          <cell r="G833" t="str">
            <v>W'</v>
          </cell>
        </row>
        <row r="834">
          <cell r="D834" t="str">
            <v xml:space="preserve"> Biaya Pasti per Jam</v>
          </cell>
          <cell r="E834" t="str">
            <v>=</v>
          </cell>
          <cell r="G834" t="str">
            <v>( E + F )</v>
          </cell>
          <cell r="I834" t="str">
            <v>G</v>
          </cell>
          <cell r="J834">
            <v>39988.308750806282</v>
          </cell>
          <cell r="K834" t="str">
            <v>Rupiah</v>
          </cell>
        </row>
        <row r="836">
          <cell r="C836" t="str">
            <v>C.</v>
          </cell>
          <cell r="D836" t="str">
            <v xml:space="preserve"> BIAYA OPERASI PER JAM KERJA</v>
          </cell>
        </row>
        <row r="837">
          <cell r="C837">
            <v>1</v>
          </cell>
          <cell r="D837" t="str">
            <v xml:space="preserve"> Bahan Bakar </v>
          </cell>
          <cell r="E837" t="str">
            <v>=</v>
          </cell>
          <cell r="F837" t="str">
            <v>(0,125 - 0,175 Ltr/HP/Jam) x Pw x Ms</v>
          </cell>
          <cell r="I837" t="str">
            <v>H</v>
          </cell>
          <cell r="J837">
            <v>29562.5</v>
          </cell>
          <cell r="K837" t="str">
            <v>Rupiah</v>
          </cell>
        </row>
        <row r="838">
          <cell r="C838">
            <v>2</v>
          </cell>
          <cell r="D838" t="str">
            <v xml:space="preserve"> Pelumas</v>
          </cell>
          <cell r="E838" t="str">
            <v>=</v>
          </cell>
          <cell r="F838" t="str">
            <v>(0,01 - 0,02 Ltr/HP/Jam) x Pw x Mp</v>
          </cell>
          <cell r="I838" t="str">
            <v>I</v>
          </cell>
          <cell r="J838">
            <v>16500</v>
          </cell>
          <cell r="K838" t="str">
            <v>Rupiah</v>
          </cell>
        </row>
        <row r="839">
          <cell r="C839">
            <v>3</v>
          </cell>
          <cell r="D839" t="str">
            <v xml:space="preserve"> Perawatan dan Perbaikan</v>
          </cell>
          <cell r="F839" t="str">
            <v>=</v>
          </cell>
          <cell r="G839" t="str">
            <v xml:space="preserve"> ( 12,5 % - 17,5 % ) x B'</v>
          </cell>
          <cell r="I839" t="str">
            <v>K</v>
          </cell>
          <cell r="J839">
            <v>16500</v>
          </cell>
          <cell r="K839" t="str">
            <v>Rupiah</v>
          </cell>
        </row>
        <row r="840">
          <cell r="G840" t="str">
            <v xml:space="preserve"> W'</v>
          </cell>
        </row>
        <row r="841">
          <cell r="C841">
            <v>4</v>
          </cell>
          <cell r="D841" t="str">
            <v xml:space="preserve"> Operator</v>
          </cell>
          <cell r="E841" t="str">
            <v>=</v>
          </cell>
          <cell r="F841" t="str">
            <v>( 1 Orang / Jam ) x U1</v>
          </cell>
          <cell r="I841" t="str">
            <v>L</v>
          </cell>
          <cell r="J841">
            <v>10750</v>
          </cell>
          <cell r="K841" t="str">
            <v>Rupiah</v>
          </cell>
        </row>
        <row r="842">
          <cell r="C842">
            <v>5</v>
          </cell>
          <cell r="D842" t="str">
            <v xml:space="preserve"> Pembantu Operator</v>
          </cell>
          <cell r="E842" t="str">
            <v>=</v>
          </cell>
          <cell r="F842" t="str">
            <v>( 1 Orang / Jam ) x U2</v>
          </cell>
          <cell r="I842" t="str">
            <v>M</v>
          </cell>
          <cell r="J842">
            <v>4500</v>
          </cell>
          <cell r="K842" t="str">
            <v>Rupiah</v>
          </cell>
        </row>
        <row r="843">
          <cell r="D843" t="str">
            <v xml:space="preserve"> Biaya Operasi Per Jam </v>
          </cell>
          <cell r="F843" t="str">
            <v>=</v>
          </cell>
          <cell r="G843" t="str">
            <v xml:space="preserve"> ( H + I + K + L + M )</v>
          </cell>
          <cell r="I843" t="str">
            <v>P</v>
          </cell>
          <cell r="J843">
            <v>77812.5</v>
          </cell>
          <cell r="K843" t="str">
            <v>Rupiah</v>
          </cell>
        </row>
        <row r="845">
          <cell r="C845" t="str">
            <v>D.</v>
          </cell>
          <cell r="D845" t="str">
            <v xml:space="preserve"> TOTAL BIAYA SEWA ALAT / JAM   =   ( G + P )</v>
          </cell>
          <cell r="I845" t="str">
            <v>S</v>
          </cell>
          <cell r="J845">
            <v>117800.80875080629</v>
          </cell>
          <cell r="K845" t="str">
            <v>Rupiah</v>
          </cell>
        </row>
        <row r="847">
          <cell r="C847" t="str">
            <v>E.</v>
          </cell>
          <cell r="D847" t="str">
            <v xml:space="preserve"> LAIN - LAIN</v>
          </cell>
        </row>
        <row r="848">
          <cell r="C848">
            <v>1</v>
          </cell>
          <cell r="D848" t="str">
            <v xml:space="preserve"> Tingkat Suku Bunga</v>
          </cell>
          <cell r="I848" t="str">
            <v>i</v>
          </cell>
          <cell r="J848">
            <v>20</v>
          </cell>
          <cell r="K848" t="str">
            <v>% / Tahun</v>
          </cell>
        </row>
        <row r="849">
          <cell r="C849">
            <v>2</v>
          </cell>
          <cell r="D849" t="str">
            <v xml:space="preserve"> Upah Operator / Sopir</v>
          </cell>
          <cell r="I849" t="str">
            <v>U1</v>
          </cell>
          <cell r="J849">
            <v>10750</v>
          </cell>
          <cell r="K849" t="str">
            <v>Rp. / Jam</v>
          </cell>
        </row>
        <row r="850">
          <cell r="C850">
            <v>3</v>
          </cell>
          <cell r="D850" t="str">
            <v xml:space="preserve"> Upah Pembantu Operator / Pembantu Sopir</v>
          </cell>
          <cell r="I850" t="str">
            <v>U2</v>
          </cell>
          <cell r="J850">
            <v>4500</v>
          </cell>
          <cell r="K850" t="str">
            <v>Rp. / Jam</v>
          </cell>
        </row>
        <row r="851">
          <cell r="C851">
            <v>4</v>
          </cell>
          <cell r="D851" t="str">
            <v xml:space="preserve"> Bahan Bakar Bensin</v>
          </cell>
          <cell r="I851" t="str">
            <v>Mb</v>
          </cell>
          <cell r="J851">
            <v>4500</v>
          </cell>
          <cell r="K851" t="str">
            <v>Liter</v>
          </cell>
        </row>
        <row r="852">
          <cell r="C852">
            <v>5</v>
          </cell>
          <cell r="D852" t="str">
            <v xml:space="preserve"> Bahan Bakar Solar</v>
          </cell>
          <cell r="I852" t="str">
            <v>Ms</v>
          </cell>
          <cell r="J852">
            <v>4300</v>
          </cell>
          <cell r="K852" t="str">
            <v>Liter</v>
          </cell>
        </row>
        <row r="853">
          <cell r="C853">
            <v>6</v>
          </cell>
          <cell r="D853" t="str">
            <v xml:space="preserve"> Minyak Pelumas</v>
          </cell>
          <cell r="I853" t="str">
            <v>Mp</v>
          </cell>
          <cell r="J853">
            <v>30000</v>
          </cell>
          <cell r="K853" t="str">
            <v>Liter</v>
          </cell>
        </row>
        <row r="854">
          <cell r="C854">
            <v>7</v>
          </cell>
          <cell r="D854" t="str">
            <v xml:space="preserve"> PPN diperhitungkan pada lembar Rekapitulasi Biaya Pekerjaan.</v>
          </cell>
        </row>
        <row r="858">
          <cell r="C858" t="str">
            <v>JENIS ALAT</v>
          </cell>
          <cell r="E858" t="str">
            <v>:</v>
          </cell>
          <cell r="F858" t="str">
            <v>TANDEM ROLLER  6 - 8 T</v>
          </cell>
        </row>
        <row r="859">
          <cell r="C859" t="str">
            <v>PERUSAHAAN</v>
          </cell>
          <cell r="E859" t="str">
            <v>:</v>
          </cell>
          <cell r="F859" t="str">
            <v>NAD / ACEH TENGAH</v>
          </cell>
        </row>
        <row r="861">
          <cell r="C861" t="str">
            <v>No.</v>
          </cell>
          <cell r="D861" t="str">
            <v>URAIAN</v>
          </cell>
          <cell r="I861" t="str">
            <v>KODE</v>
          </cell>
          <cell r="J861" t="str">
            <v>KOEF.</v>
          </cell>
          <cell r="K861" t="str">
            <v>SATUAN</v>
          </cell>
          <cell r="L861" t="str">
            <v>KET.</v>
          </cell>
        </row>
        <row r="863">
          <cell r="C863" t="str">
            <v>A.</v>
          </cell>
          <cell r="D863" t="str">
            <v xml:space="preserve"> URAIAN PERALATAN</v>
          </cell>
        </row>
        <row r="864">
          <cell r="C864">
            <v>1</v>
          </cell>
          <cell r="D864" t="str">
            <v xml:space="preserve"> Jenis Peralatan</v>
          </cell>
          <cell r="I864" t="str">
            <v>TANDEM ROLLER  6 - 8 T</v>
          </cell>
          <cell r="L864" t="str">
            <v>E 17</v>
          </cell>
        </row>
        <row r="865">
          <cell r="C865">
            <v>2</v>
          </cell>
          <cell r="D865" t="str">
            <v xml:space="preserve"> Tenaga</v>
          </cell>
          <cell r="I865" t="str">
            <v>Pw</v>
          </cell>
          <cell r="J865">
            <v>50</v>
          </cell>
          <cell r="K865" t="str">
            <v>HP</v>
          </cell>
        </row>
        <row r="866">
          <cell r="C866">
            <v>3</v>
          </cell>
          <cell r="D866" t="str">
            <v xml:space="preserve"> Kapasitas</v>
          </cell>
          <cell r="I866" t="str">
            <v>Cp</v>
          </cell>
          <cell r="J866">
            <v>8</v>
          </cell>
          <cell r="K866" t="str">
            <v>Ton</v>
          </cell>
        </row>
        <row r="867">
          <cell r="C867">
            <v>4</v>
          </cell>
          <cell r="D867" t="str">
            <v xml:space="preserve"> Alat Baru</v>
          </cell>
          <cell r="E867" t="str">
            <v>:</v>
          </cell>
          <cell r="F867" t="str">
            <v>a.</v>
          </cell>
          <cell r="G867" t="str">
            <v>Umur Ekonomis</v>
          </cell>
          <cell r="I867" t="str">
            <v>A</v>
          </cell>
          <cell r="J867">
            <v>5</v>
          </cell>
          <cell r="K867" t="str">
            <v>Tahun</v>
          </cell>
        </row>
        <row r="868">
          <cell r="F868" t="str">
            <v>b.</v>
          </cell>
          <cell r="G868" t="str">
            <v>Jam Kerja Dalam  1 Tahun</v>
          </cell>
          <cell r="I868" t="str">
            <v>W</v>
          </cell>
          <cell r="J868">
            <v>2000</v>
          </cell>
          <cell r="K868" t="str">
            <v>Jam</v>
          </cell>
        </row>
        <row r="869">
          <cell r="F869" t="str">
            <v>c.</v>
          </cell>
          <cell r="G869" t="str">
            <v>Harga Alat</v>
          </cell>
          <cell r="I869" t="str">
            <v>B</v>
          </cell>
          <cell r="J869">
            <v>366300000</v>
          </cell>
          <cell r="K869" t="str">
            <v>Rupiah</v>
          </cell>
        </row>
        <row r="870">
          <cell r="C870">
            <v>5</v>
          </cell>
          <cell r="D870" t="str">
            <v xml:space="preserve"> Alat Yang Dipakai</v>
          </cell>
          <cell r="E870" t="str">
            <v>:</v>
          </cell>
          <cell r="F870" t="str">
            <v>a.</v>
          </cell>
          <cell r="G870" t="str">
            <v>Umur Ekonomis</v>
          </cell>
          <cell r="I870" t="str">
            <v>A'</v>
          </cell>
          <cell r="J870">
            <v>5</v>
          </cell>
          <cell r="K870" t="str">
            <v>Tahun</v>
          </cell>
          <cell r="L870" t="str">
            <v>Alat Baru</v>
          </cell>
        </row>
        <row r="871">
          <cell r="F871" t="str">
            <v>b.</v>
          </cell>
          <cell r="G871" t="str">
            <v>Jam Kerja Dalam  1 Tahun</v>
          </cell>
          <cell r="I871" t="str">
            <v>W'</v>
          </cell>
          <cell r="J871">
            <v>2000</v>
          </cell>
          <cell r="K871" t="str">
            <v>Jam</v>
          </cell>
          <cell r="L871" t="str">
            <v>Alat Baru</v>
          </cell>
        </row>
        <row r="872">
          <cell r="F872" t="str">
            <v>c.</v>
          </cell>
          <cell r="G872" t="str">
            <v>Harga Alat  ( * )</v>
          </cell>
          <cell r="I872" t="str">
            <v>B'</v>
          </cell>
          <cell r="J872">
            <v>366300000</v>
          </cell>
          <cell r="K872" t="str">
            <v>Rupiah</v>
          </cell>
          <cell r="L872" t="str">
            <v>Alat Baru</v>
          </cell>
        </row>
        <row r="874">
          <cell r="C874" t="str">
            <v>B.</v>
          </cell>
          <cell r="D874" t="str">
            <v xml:space="preserve"> BIAYA PASTI PER JAM KERJA</v>
          </cell>
        </row>
        <row r="875">
          <cell r="C875">
            <v>1</v>
          </cell>
          <cell r="D875" t="str">
            <v xml:space="preserve"> Nilai Sisa Alat</v>
          </cell>
          <cell r="E875" t="str">
            <v>=  10 % x B</v>
          </cell>
          <cell r="I875" t="str">
            <v>C</v>
          </cell>
          <cell r="J875">
            <v>36630000</v>
          </cell>
          <cell r="K875" t="str">
            <v>Rupiah</v>
          </cell>
        </row>
        <row r="876">
          <cell r="C876">
            <v>2</v>
          </cell>
          <cell r="D876" t="str">
            <v xml:space="preserve"> Faktor Angsuran Modal</v>
          </cell>
          <cell r="F876" t="str">
            <v>=</v>
          </cell>
          <cell r="G876" t="str">
            <v>i x ( 1 + i ) ^ A'</v>
          </cell>
          <cell r="I876" t="str">
            <v>D</v>
          </cell>
          <cell r="J876">
            <v>0.33437970328961514</v>
          </cell>
          <cell r="K876" t="str">
            <v>-</v>
          </cell>
        </row>
        <row r="877">
          <cell r="G877" t="str">
            <v>( 1 + i ) ^ A' - 1</v>
          </cell>
        </row>
        <row r="878">
          <cell r="C878">
            <v>3</v>
          </cell>
          <cell r="D878" t="str">
            <v xml:space="preserve"> Biaya Pasti per Jam  :</v>
          </cell>
        </row>
        <row r="879">
          <cell r="D879" t="str">
            <v xml:space="preserve"> a. Biaya Pengembalian Modal</v>
          </cell>
          <cell r="F879" t="str">
            <v>=</v>
          </cell>
          <cell r="G879" t="str">
            <v>( B' - C ) x D</v>
          </cell>
          <cell r="I879" t="str">
            <v>E</v>
          </cell>
          <cell r="J879">
            <v>55117.478391743709</v>
          </cell>
          <cell r="K879" t="str">
            <v>Rupiah</v>
          </cell>
        </row>
        <row r="880">
          <cell r="G880" t="str">
            <v>W'</v>
          </cell>
        </row>
        <row r="881">
          <cell r="D881" t="str">
            <v xml:space="preserve"> b. Asuransi, dll</v>
          </cell>
          <cell r="E881" t="str">
            <v>=</v>
          </cell>
          <cell r="G881" t="str">
            <v>0,002 x B'</v>
          </cell>
          <cell r="I881" t="str">
            <v>F</v>
          </cell>
          <cell r="J881">
            <v>366.3</v>
          </cell>
          <cell r="K881" t="str">
            <v>Rupiah</v>
          </cell>
        </row>
        <row r="882">
          <cell r="G882" t="str">
            <v>W'</v>
          </cell>
        </row>
        <row r="883">
          <cell r="D883" t="str">
            <v xml:space="preserve"> Biaya Pasti per Jam</v>
          </cell>
          <cell r="E883" t="str">
            <v>=</v>
          </cell>
          <cell r="G883" t="str">
            <v>( E + F )</v>
          </cell>
          <cell r="I883" t="str">
            <v>G</v>
          </cell>
          <cell r="J883">
            <v>55483.778391743712</v>
          </cell>
          <cell r="K883" t="str">
            <v>Rupiah</v>
          </cell>
        </row>
        <row r="885">
          <cell r="C885" t="str">
            <v>C.</v>
          </cell>
          <cell r="D885" t="str">
            <v xml:space="preserve"> BIAYA OPERASI PER JAM KERJA</v>
          </cell>
        </row>
        <row r="886">
          <cell r="C886">
            <v>1</v>
          </cell>
          <cell r="D886" t="str">
            <v xml:space="preserve"> Bahan Bakar </v>
          </cell>
          <cell r="E886" t="str">
            <v>=</v>
          </cell>
          <cell r="F886" t="str">
            <v>(0,125 - 0,175 Ltr/HP/Jam) x Pw x Ms</v>
          </cell>
          <cell r="I886" t="str">
            <v>H</v>
          </cell>
          <cell r="J886">
            <v>26875</v>
          </cell>
          <cell r="K886" t="str">
            <v>Rupiah</v>
          </cell>
        </row>
        <row r="887">
          <cell r="C887">
            <v>2</v>
          </cell>
          <cell r="D887" t="str">
            <v xml:space="preserve"> Pelumas</v>
          </cell>
          <cell r="E887" t="str">
            <v>=</v>
          </cell>
          <cell r="F887" t="str">
            <v>(0,01 - 0,02 Ltr/HP/Jam) x Pw x Mp</v>
          </cell>
          <cell r="I887" t="str">
            <v>I</v>
          </cell>
          <cell r="J887">
            <v>15000</v>
          </cell>
          <cell r="K887" t="str">
            <v>Rupiah</v>
          </cell>
        </row>
        <row r="888">
          <cell r="C888">
            <v>3</v>
          </cell>
          <cell r="D888" t="str">
            <v xml:space="preserve"> Perawatan dan Perbaikan</v>
          </cell>
          <cell r="F888" t="str">
            <v>=</v>
          </cell>
          <cell r="G888" t="str">
            <v xml:space="preserve"> ( 12,5 % - 17,5 % ) x B'</v>
          </cell>
          <cell r="I888" t="str">
            <v>K</v>
          </cell>
          <cell r="J888">
            <v>22893.75</v>
          </cell>
          <cell r="K888" t="str">
            <v>Rupiah</v>
          </cell>
        </row>
        <row r="889">
          <cell r="G889" t="str">
            <v xml:space="preserve"> W'</v>
          </cell>
        </row>
        <row r="890">
          <cell r="C890">
            <v>4</v>
          </cell>
          <cell r="D890" t="str">
            <v xml:space="preserve"> Operator</v>
          </cell>
          <cell r="E890" t="str">
            <v>=</v>
          </cell>
          <cell r="F890" t="str">
            <v>( 1 Orang / Jam ) x U1</v>
          </cell>
          <cell r="I890" t="str">
            <v>L</v>
          </cell>
          <cell r="J890">
            <v>10750</v>
          </cell>
          <cell r="K890" t="str">
            <v>Rupiah</v>
          </cell>
        </row>
        <row r="891">
          <cell r="C891">
            <v>5</v>
          </cell>
          <cell r="D891" t="str">
            <v xml:space="preserve"> Pembantu Operator</v>
          </cell>
          <cell r="E891" t="str">
            <v>=</v>
          </cell>
          <cell r="F891" t="str">
            <v>( 1 Orang / Jam ) x U2</v>
          </cell>
          <cell r="I891" t="str">
            <v>M</v>
          </cell>
          <cell r="J891">
            <v>4500</v>
          </cell>
          <cell r="K891" t="str">
            <v>Rupiah</v>
          </cell>
        </row>
        <row r="892">
          <cell r="D892" t="str">
            <v xml:space="preserve"> Biaya Operasi Per Jam </v>
          </cell>
          <cell r="F892" t="str">
            <v>=</v>
          </cell>
          <cell r="G892" t="str">
            <v xml:space="preserve"> ( H + I + K + L + M )</v>
          </cell>
          <cell r="I892" t="str">
            <v>P</v>
          </cell>
          <cell r="J892">
            <v>80018.75</v>
          </cell>
          <cell r="K892" t="str">
            <v>Rupiah</v>
          </cell>
        </row>
        <row r="894">
          <cell r="C894" t="str">
            <v>D.</v>
          </cell>
          <cell r="D894" t="str">
            <v xml:space="preserve"> TOTAL BIAYA SEWA ALAT / JAM   =   ( G + P )</v>
          </cell>
          <cell r="I894" t="str">
            <v>S</v>
          </cell>
          <cell r="J894">
            <v>135502.52839174372</v>
          </cell>
          <cell r="K894" t="str">
            <v>Rupiah</v>
          </cell>
        </row>
        <row r="896">
          <cell r="C896" t="str">
            <v>E.</v>
          </cell>
          <cell r="D896" t="str">
            <v xml:space="preserve"> LAIN - LAIN</v>
          </cell>
        </row>
        <row r="897">
          <cell r="C897">
            <v>1</v>
          </cell>
          <cell r="D897" t="str">
            <v xml:space="preserve"> Tingkat Suku Bunga</v>
          </cell>
          <cell r="I897" t="str">
            <v>i</v>
          </cell>
          <cell r="J897">
            <v>20</v>
          </cell>
          <cell r="K897" t="str">
            <v>% / Tahun</v>
          </cell>
        </row>
        <row r="898">
          <cell r="C898">
            <v>2</v>
          </cell>
          <cell r="D898" t="str">
            <v xml:space="preserve"> Upah Operator / Sopir</v>
          </cell>
          <cell r="I898" t="str">
            <v>U1</v>
          </cell>
          <cell r="J898">
            <v>10750</v>
          </cell>
          <cell r="K898" t="str">
            <v>Rp. / Jam</v>
          </cell>
        </row>
        <row r="899">
          <cell r="C899">
            <v>3</v>
          </cell>
          <cell r="D899" t="str">
            <v xml:space="preserve"> Upah Pembantu Operator / Pembantu Sopir</v>
          </cell>
          <cell r="I899" t="str">
            <v>U2</v>
          </cell>
          <cell r="J899">
            <v>4500</v>
          </cell>
          <cell r="K899" t="str">
            <v>Rp. / Jam</v>
          </cell>
        </row>
        <row r="900">
          <cell r="C900">
            <v>4</v>
          </cell>
          <cell r="D900" t="str">
            <v xml:space="preserve"> Bahan Bakar Bensin</v>
          </cell>
          <cell r="I900" t="str">
            <v>Mb</v>
          </cell>
          <cell r="J900">
            <v>4500</v>
          </cell>
          <cell r="K900" t="str">
            <v>Liter</v>
          </cell>
        </row>
        <row r="901">
          <cell r="C901">
            <v>5</v>
          </cell>
          <cell r="D901" t="str">
            <v xml:space="preserve"> Bahan Bakar Solar</v>
          </cell>
          <cell r="I901" t="str">
            <v>Ms</v>
          </cell>
          <cell r="J901">
            <v>4300</v>
          </cell>
          <cell r="K901" t="str">
            <v>Liter</v>
          </cell>
        </row>
        <row r="902">
          <cell r="C902">
            <v>6</v>
          </cell>
          <cell r="D902" t="str">
            <v xml:space="preserve"> Minyak Pelumas</v>
          </cell>
          <cell r="I902" t="str">
            <v>Mp</v>
          </cell>
          <cell r="J902">
            <v>30000</v>
          </cell>
          <cell r="K902" t="str">
            <v>Liter</v>
          </cell>
        </row>
        <row r="903">
          <cell r="C903">
            <v>7</v>
          </cell>
          <cell r="D903" t="str">
            <v xml:space="preserve"> PPN diperhitungkan pada lembar Rekapitulasi Biaya Pekerjaan.</v>
          </cell>
        </row>
        <row r="907">
          <cell r="C907" t="str">
            <v>JENIS ALAT</v>
          </cell>
          <cell r="E907" t="str">
            <v>:</v>
          </cell>
          <cell r="F907" t="str">
            <v>PNEUMATIC TYRE ROLLER  8 - 10 T</v>
          </cell>
        </row>
        <row r="908">
          <cell r="C908" t="str">
            <v>PERUSAHAAN</v>
          </cell>
          <cell r="E908" t="str">
            <v>:</v>
          </cell>
          <cell r="F908" t="str">
            <v>NAD / ACEH TENGAH</v>
          </cell>
        </row>
        <row r="910">
          <cell r="C910" t="str">
            <v>No.</v>
          </cell>
          <cell r="D910" t="str">
            <v>URAIAN</v>
          </cell>
          <cell r="I910" t="str">
            <v>KODE</v>
          </cell>
          <cell r="J910" t="str">
            <v>KOEF.</v>
          </cell>
          <cell r="K910" t="str">
            <v>SATUAN</v>
          </cell>
          <cell r="L910" t="str">
            <v>KET.</v>
          </cell>
        </row>
        <row r="912">
          <cell r="C912" t="str">
            <v>A.</v>
          </cell>
          <cell r="D912" t="str">
            <v xml:space="preserve"> URAIAN PERALATAN</v>
          </cell>
        </row>
        <row r="913">
          <cell r="C913">
            <v>1</v>
          </cell>
          <cell r="D913" t="str">
            <v xml:space="preserve"> Jenis Peralatan</v>
          </cell>
          <cell r="I913" t="str">
            <v>PNEUMATIC TYRE ROLLER  8 - 10 T</v>
          </cell>
          <cell r="L913" t="str">
            <v>E 18</v>
          </cell>
        </row>
        <row r="914">
          <cell r="C914">
            <v>2</v>
          </cell>
          <cell r="D914" t="str">
            <v xml:space="preserve"> Tenaga</v>
          </cell>
          <cell r="I914" t="str">
            <v>Pw</v>
          </cell>
          <cell r="J914">
            <v>60</v>
          </cell>
          <cell r="K914" t="str">
            <v>HP</v>
          </cell>
        </row>
        <row r="915">
          <cell r="C915">
            <v>3</v>
          </cell>
          <cell r="D915" t="str">
            <v xml:space="preserve"> Kapasitas</v>
          </cell>
          <cell r="I915" t="str">
            <v>Cp</v>
          </cell>
          <cell r="J915">
            <v>10</v>
          </cell>
          <cell r="K915" t="str">
            <v>Ton</v>
          </cell>
        </row>
        <row r="916">
          <cell r="C916">
            <v>4</v>
          </cell>
          <cell r="D916" t="str">
            <v xml:space="preserve"> Alat Baru</v>
          </cell>
          <cell r="E916" t="str">
            <v>:</v>
          </cell>
          <cell r="F916" t="str">
            <v>a.</v>
          </cell>
          <cell r="G916" t="str">
            <v>Umur Ekonomis</v>
          </cell>
          <cell r="I916" t="str">
            <v>A</v>
          </cell>
          <cell r="J916">
            <v>5</v>
          </cell>
          <cell r="K916" t="str">
            <v>Tahun</v>
          </cell>
        </row>
        <row r="917">
          <cell r="F917" t="str">
            <v>b.</v>
          </cell>
          <cell r="G917" t="str">
            <v>Jam Kerja Dalam  1 Tahun</v>
          </cell>
          <cell r="I917" t="str">
            <v>W</v>
          </cell>
          <cell r="J917">
            <v>1800</v>
          </cell>
          <cell r="K917" t="str">
            <v>Jam</v>
          </cell>
        </row>
        <row r="918">
          <cell r="F918" t="str">
            <v>c.</v>
          </cell>
          <cell r="G918" t="str">
            <v>Harga Alat</v>
          </cell>
          <cell r="I918" t="str">
            <v>B</v>
          </cell>
          <cell r="J918">
            <v>387000000</v>
          </cell>
          <cell r="K918" t="str">
            <v>Rupiah</v>
          </cell>
        </row>
        <row r="919">
          <cell r="C919">
            <v>5</v>
          </cell>
          <cell r="D919" t="str">
            <v xml:space="preserve"> Alat Yang Dipakai</v>
          </cell>
          <cell r="E919" t="str">
            <v>:</v>
          </cell>
          <cell r="F919" t="str">
            <v>a.</v>
          </cell>
          <cell r="G919" t="str">
            <v>Umur Ekonomis</v>
          </cell>
          <cell r="I919" t="str">
            <v>A'</v>
          </cell>
          <cell r="J919">
            <v>5</v>
          </cell>
          <cell r="K919" t="str">
            <v>Tahun</v>
          </cell>
          <cell r="L919" t="str">
            <v>Alat Baru</v>
          </cell>
        </row>
        <row r="920">
          <cell r="F920" t="str">
            <v>b.</v>
          </cell>
          <cell r="G920" t="str">
            <v>Jam Kerja Dalam  1 Tahun</v>
          </cell>
          <cell r="I920" t="str">
            <v>W'</v>
          </cell>
          <cell r="J920">
            <v>1800</v>
          </cell>
          <cell r="K920" t="str">
            <v>Jam</v>
          </cell>
          <cell r="L920" t="str">
            <v>Alat Baru</v>
          </cell>
        </row>
        <row r="921">
          <cell r="F921" t="str">
            <v>c.</v>
          </cell>
          <cell r="G921" t="str">
            <v>Harga Alat  ( * )</v>
          </cell>
          <cell r="I921" t="str">
            <v>B'</v>
          </cell>
          <cell r="J921">
            <v>387000000</v>
          </cell>
          <cell r="K921" t="str">
            <v>Rupiah</v>
          </cell>
          <cell r="L921" t="str">
            <v>Alat Baru</v>
          </cell>
        </row>
        <row r="923">
          <cell r="C923" t="str">
            <v>B.</v>
          </cell>
          <cell r="D923" t="str">
            <v xml:space="preserve"> BIAYA PASTI PER JAM KERJA</v>
          </cell>
        </row>
        <row r="924">
          <cell r="C924">
            <v>1</v>
          </cell>
          <cell r="D924" t="str">
            <v xml:space="preserve"> Nilai Sisa Alat</v>
          </cell>
          <cell r="E924" t="str">
            <v>=  10 % x B</v>
          </cell>
          <cell r="I924" t="str">
            <v>C</v>
          </cell>
          <cell r="J924">
            <v>38700000</v>
          </cell>
          <cell r="K924" t="str">
            <v>Rupiah</v>
          </cell>
        </row>
        <row r="925">
          <cell r="C925">
            <v>2</v>
          </cell>
          <cell r="D925" t="str">
            <v xml:space="preserve"> Faktor Angsuran Modal</v>
          </cell>
          <cell r="F925" t="str">
            <v>=</v>
          </cell>
          <cell r="G925" t="str">
            <v>i x ( 1 + i ) ^ A'</v>
          </cell>
          <cell r="I925" t="str">
            <v>D</v>
          </cell>
          <cell r="J925">
            <v>0.33437970328961514</v>
          </cell>
          <cell r="K925" t="str">
            <v>-</v>
          </cell>
        </row>
        <row r="926">
          <cell r="G926" t="str">
            <v>( 1 + i ) ^ A' - 1</v>
          </cell>
        </row>
        <row r="927">
          <cell r="C927">
            <v>3</v>
          </cell>
          <cell r="D927" t="str">
            <v xml:space="preserve"> Biaya Pasti per Jam  :</v>
          </cell>
        </row>
        <row r="928">
          <cell r="D928" t="str">
            <v xml:space="preserve"> a. Biaya Pengembalian Modal</v>
          </cell>
          <cell r="F928" t="str">
            <v>=</v>
          </cell>
          <cell r="G928" t="str">
            <v>( B' - C ) x D</v>
          </cell>
          <cell r="I928" t="str">
            <v>E</v>
          </cell>
          <cell r="J928">
            <v>64702.472586540527</v>
          </cell>
          <cell r="K928" t="str">
            <v>Rupiah</v>
          </cell>
        </row>
        <row r="929">
          <cell r="G929" t="str">
            <v>W'</v>
          </cell>
        </row>
        <row r="930">
          <cell r="D930" t="str">
            <v xml:space="preserve"> b. Asuransi, dll</v>
          </cell>
          <cell r="E930" t="str">
            <v>=</v>
          </cell>
          <cell r="G930" t="str">
            <v>0,002 x B'</v>
          </cell>
          <cell r="I930" t="str">
            <v>F</v>
          </cell>
          <cell r="J930">
            <v>430</v>
          </cell>
          <cell r="K930" t="str">
            <v>Rupiah</v>
          </cell>
        </row>
        <row r="931">
          <cell r="G931" t="str">
            <v>W'</v>
          </cell>
        </row>
        <row r="932">
          <cell r="D932" t="str">
            <v xml:space="preserve"> Biaya Pasti per Jam</v>
          </cell>
          <cell r="E932" t="str">
            <v>=</v>
          </cell>
          <cell r="G932" t="str">
            <v>( E + F )</v>
          </cell>
          <cell r="I932" t="str">
            <v>G</v>
          </cell>
          <cell r="J932">
            <v>65132.472586540527</v>
          </cell>
          <cell r="K932" t="str">
            <v>Rupiah</v>
          </cell>
        </row>
        <row r="934">
          <cell r="C934" t="str">
            <v>C.</v>
          </cell>
          <cell r="D934" t="str">
            <v xml:space="preserve"> BIAYA OPERASI PER JAM KERJA</v>
          </cell>
        </row>
        <row r="935">
          <cell r="C935">
            <v>1</v>
          </cell>
          <cell r="D935" t="str">
            <v xml:space="preserve"> Bahan Bakar </v>
          </cell>
          <cell r="E935" t="str">
            <v>=</v>
          </cell>
          <cell r="F935" t="str">
            <v>(0,125 - 0,175 Ltr/HP/Jam) x Pw x Ms</v>
          </cell>
          <cell r="I935" t="str">
            <v>H</v>
          </cell>
          <cell r="J935">
            <v>32250</v>
          </cell>
          <cell r="K935" t="str">
            <v>Rupiah</v>
          </cell>
        </row>
        <row r="936">
          <cell r="C936">
            <v>2</v>
          </cell>
          <cell r="D936" t="str">
            <v xml:space="preserve"> Pelumas</v>
          </cell>
          <cell r="E936" t="str">
            <v>=</v>
          </cell>
          <cell r="F936" t="str">
            <v>(0,01 - 0,02 Ltr/HP/Jam) x Pw x Mp</v>
          </cell>
          <cell r="I936" t="str">
            <v>I</v>
          </cell>
          <cell r="J936">
            <v>18000</v>
          </cell>
          <cell r="K936" t="str">
            <v>Rupiah</v>
          </cell>
        </row>
        <row r="937">
          <cell r="C937">
            <v>3</v>
          </cell>
          <cell r="D937" t="str">
            <v xml:space="preserve"> Perawatan dan Perbaikan</v>
          </cell>
          <cell r="F937" t="str">
            <v>=</v>
          </cell>
          <cell r="G937" t="str">
            <v xml:space="preserve"> ( 12,5 % - 17,5 % ) x B'</v>
          </cell>
          <cell r="I937" t="str">
            <v>K</v>
          </cell>
          <cell r="J937">
            <v>26875</v>
          </cell>
          <cell r="K937" t="str">
            <v>Rupiah</v>
          </cell>
        </row>
        <row r="938">
          <cell r="G938" t="str">
            <v xml:space="preserve"> W'</v>
          </cell>
        </row>
        <row r="939">
          <cell r="C939">
            <v>4</v>
          </cell>
          <cell r="D939" t="str">
            <v xml:space="preserve"> Operator</v>
          </cell>
          <cell r="E939" t="str">
            <v>=</v>
          </cell>
          <cell r="F939" t="str">
            <v>( 1 Orang / Jam ) x U1</v>
          </cell>
          <cell r="I939" t="str">
            <v>L</v>
          </cell>
          <cell r="J939">
            <v>10750</v>
          </cell>
          <cell r="K939" t="str">
            <v>Rupiah</v>
          </cell>
        </row>
        <row r="940">
          <cell r="C940">
            <v>5</v>
          </cell>
          <cell r="D940" t="str">
            <v xml:space="preserve"> Pembantu Operator</v>
          </cell>
          <cell r="E940" t="str">
            <v>=</v>
          </cell>
          <cell r="F940" t="str">
            <v>( 1 Orang / Jam ) x U2</v>
          </cell>
          <cell r="I940" t="str">
            <v>M</v>
          </cell>
          <cell r="J940">
            <v>4500</v>
          </cell>
          <cell r="K940" t="str">
            <v>Rupiah</v>
          </cell>
        </row>
        <row r="941">
          <cell r="D941" t="str">
            <v xml:space="preserve"> Biaya Operasi Per Jam </v>
          </cell>
          <cell r="F941" t="str">
            <v>=</v>
          </cell>
          <cell r="G941" t="str">
            <v xml:space="preserve"> ( H + I + K + L + M )</v>
          </cell>
          <cell r="I941" t="str">
            <v>P</v>
          </cell>
          <cell r="J941">
            <v>92375</v>
          </cell>
          <cell r="K941" t="str">
            <v>Rupiah</v>
          </cell>
        </row>
        <row r="943">
          <cell r="C943" t="str">
            <v>D.</v>
          </cell>
          <cell r="D943" t="str">
            <v xml:space="preserve"> TOTAL BIAYA SEWA ALAT / JAM   =   ( G + P )</v>
          </cell>
          <cell r="I943" t="str">
            <v>S</v>
          </cell>
          <cell r="J943">
            <v>157507.47258654053</v>
          </cell>
          <cell r="K943" t="str">
            <v>Rupiah</v>
          </cell>
        </row>
        <row r="945">
          <cell r="C945" t="str">
            <v>E.</v>
          </cell>
          <cell r="D945" t="str">
            <v xml:space="preserve"> LAIN - LAIN</v>
          </cell>
        </row>
        <row r="946">
          <cell r="C946">
            <v>1</v>
          </cell>
          <cell r="D946" t="str">
            <v xml:space="preserve"> Tingkat Suku Bunga</v>
          </cell>
          <cell r="I946" t="str">
            <v>i</v>
          </cell>
          <cell r="J946">
            <v>20</v>
          </cell>
          <cell r="K946" t="str">
            <v>% / Tahun</v>
          </cell>
        </row>
        <row r="947">
          <cell r="C947">
            <v>2</v>
          </cell>
          <cell r="D947" t="str">
            <v xml:space="preserve"> Upah Operator / Sopir</v>
          </cell>
          <cell r="I947" t="str">
            <v>U1</v>
          </cell>
          <cell r="J947">
            <v>10750</v>
          </cell>
          <cell r="K947" t="str">
            <v>Rp. / Jam</v>
          </cell>
        </row>
        <row r="948">
          <cell r="C948">
            <v>3</v>
          </cell>
          <cell r="D948" t="str">
            <v xml:space="preserve"> Upah Pembantu Operator / Pembantu Sopir</v>
          </cell>
          <cell r="I948" t="str">
            <v>U2</v>
          </cell>
          <cell r="J948">
            <v>4500</v>
          </cell>
          <cell r="K948" t="str">
            <v>Rp. / Jam</v>
          </cell>
        </row>
        <row r="949">
          <cell r="C949">
            <v>4</v>
          </cell>
          <cell r="D949" t="str">
            <v xml:space="preserve"> Bahan Bakar Bensin</v>
          </cell>
          <cell r="I949" t="str">
            <v>Mb</v>
          </cell>
          <cell r="J949">
            <v>4500</v>
          </cell>
          <cell r="K949" t="str">
            <v>Liter</v>
          </cell>
        </row>
        <row r="950">
          <cell r="C950">
            <v>5</v>
          </cell>
          <cell r="D950" t="str">
            <v xml:space="preserve"> Bahan Bakar Solar</v>
          </cell>
          <cell r="I950" t="str">
            <v>Ms</v>
          </cell>
          <cell r="J950">
            <v>4300</v>
          </cell>
          <cell r="K950" t="str">
            <v>Liter</v>
          </cell>
        </row>
        <row r="951">
          <cell r="C951">
            <v>6</v>
          </cell>
          <cell r="D951" t="str">
            <v xml:space="preserve"> Minyak Pelumas</v>
          </cell>
          <cell r="I951" t="str">
            <v>Mp</v>
          </cell>
          <cell r="J951">
            <v>30000</v>
          </cell>
          <cell r="K951" t="str">
            <v>Liter</v>
          </cell>
        </row>
        <row r="952">
          <cell r="C952">
            <v>7</v>
          </cell>
          <cell r="D952" t="str">
            <v xml:space="preserve"> PPN diperhitungkan pada lembar Rekapitulasi Biaya Pekerjaan.</v>
          </cell>
        </row>
        <row r="956">
          <cell r="C956" t="str">
            <v>JENIS ALAT</v>
          </cell>
          <cell r="E956" t="str">
            <v>:</v>
          </cell>
          <cell r="F956" t="str">
            <v>VIBRATOR  ROLLER  10-15 T</v>
          </cell>
        </row>
        <row r="957">
          <cell r="C957" t="str">
            <v>PERUSAHAAN</v>
          </cell>
          <cell r="E957" t="str">
            <v>:</v>
          </cell>
          <cell r="F957" t="str">
            <v>NAD / ACEH TENGAH</v>
          </cell>
        </row>
        <row r="959">
          <cell r="C959" t="str">
            <v>No.</v>
          </cell>
          <cell r="D959" t="str">
            <v>URAIAN</v>
          </cell>
          <cell r="I959" t="str">
            <v>KODE</v>
          </cell>
          <cell r="J959" t="str">
            <v>KOEF.</v>
          </cell>
          <cell r="K959" t="str">
            <v>SATUAN</v>
          </cell>
          <cell r="L959" t="str">
            <v>KET.</v>
          </cell>
        </row>
        <row r="961">
          <cell r="C961" t="str">
            <v>A.</v>
          </cell>
          <cell r="D961" t="str">
            <v xml:space="preserve"> URAIAN PERALATAN</v>
          </cell>
        </row>
        <row r="962">
          <cell r="C962">
            <v>1</v>
          </cell>
          <cell r="D962" t="str">
            <v xml:space="preserve"> Jenis Peralatan</v>
          </cell>
          <cell r="I962" t="str">
            <v>VIBRATOR  ROLLER  10-15 T</v>
          </cell>
          <cell r="L962" t="str">
            <v>E 19</v>
          </cell>
        </row>
        <row r="963">
          <cell r="C963">
            <v>2</v>
          </cell>
          <cell r="D963" t="str">
            <v xml:space="preserve"> Tenaga</v>
          </cell>
          <cell r="I963" t="str">
            <v>Pw</v>
          </cell>
          <cell r="J963">
            <v>75</v>
          </cell>
          <cell r="K963" t="str">
            <v>HP</v>
          </cell>
        </row>
        <row r="964">
          <cell r="C964">
            <v>3</v>
          </cell>
          <cell r="D964" t="str">
            <v xml:space="preserve"> Kapasitas</v>
          </cell>
          <cell r="I964" t="str">
            <v>Cp</v>
          </cell>
          <cell r="J964">
            <v>12</v>
          </cell>
          <cell r="K964" t="str">
            <v>Ton</v>
          </cell>
        </row>
        <row r="965">
          <cell r="C965">
            <v>4</v>
          </cell>
          <cell r="D965" t="str">
            <v xml:space="preserve"> Alat Baru</v>
          </cell>
          <cell r="E965" t="str">
            <v>:</v>
          </cell>
          <cell r="F965" t="str">
            <v>a.</v>
          </cell>
          <cell r="G965" t="str">
            <v>Umur Ekonomis</v>
          </cell>
          <cell r="I965" t="str">
            <v>A</v>
          </cell>
          <cell r="J965">
            <v>4</v>
          </cell>
          <cell r="K965" t="str">
            <v>Tahun</v>
          </cell>
        </row>
        <row r="966">
          <cell r="F966" t="str">
            <v>b.</v>
          </cell>
          <cell r="G966" t="str">
            <v>Jam Kerja Dalam  1 Tahun</v>
          </cell>
          <cell r="I966" t="str">
            <v>W</v>
          </cell>
          <cell r="J966">
            <v>2000</v>
          </cell>
          <cell r="K966" t="str">
            <v>Jam</v>
          </cell>
        </row>
        <row r="967">
          <cell r="F967" t="str">
            <v>c.</v>
          </cell>
          <cell r="G967" t="str">
            <v>Harga Alat</v>
          </cell>
          <cell r="I967" t="str">
            <v>B</v>
          </cell>
          <cell r="J967">
            <v>432000000</v>
          </cell>
          <cell r="K967" t="str">
            <v>Rupiah</v>
          </cell>
        </row>
        <row r="968">
          <cell r="C968">
            <v>5</v>
          </cell>
          <cell r="D968" t="str">
            <v xml:space="preserve"> Alat Yang Dipakai</v>
          </cell>
          <cell r="E968" t="str">
            <v>:</v>
          </cell>
          <cell r="F968" t="str">
            <v>a.</v>
          </cell>
          <cell r="G968" t="str">
            <v>Umur Ekonomis</v>
          </cell>
          <cell r="I968" t="str">
            <v>A'</v>
          </cell>
          <cell r="J968">
            <v>4</v>
          </cell>
          <cell r="K968" t="str">
            <v>Tahun</v>
          </cell>
          <cell r="L968" t="str">
            <v>Alat Baru</v>
          </cell>
        </row>
        <row r="969">
          <cell r="F969" t="str">
            <v>b.</v>
          </cell>
          <cell r="G969" t="str">
            <v>Jam Kerja Dalam  1 Tahun</v>
          </cell>
          <cell r="I969" t="str">
            <v>W'</v>
          </cell>
          <cell r="J969">
            <v>2000</v>
          </cell>
          <cell r="K969" t="str">
            <v>Jam</v>
          </cell>
          <cell r="L969" t="str">
            <v>Alat Baru</v>
          </cell>
        </row>
        <row r="970">
          <cell r="F970" t="str">
            <v>c.</v>
          </cell>
          <cell r="G970" t="str">
            <v>Harga Alat  ( * )</v>
          </cell>
          <cell r="I970" t="str">
            <v>B'</v>
          </cell>
          <cell r="J970">
            <v>432000000</v>
          </cell>
          <cell r="K970" t="str">
            <v>Rupiah</v>
          </cell>
          <cell r="L970" t="str">
            <v>Alat Baru</v>
          </cell>
        </row>
        <row r="972">
          <cell r="C972" t="str">
            <v>B.</v>
          </cell>
          <cell r="D972" t="str">
            <v xml:space="preserve"> BIAYA PASTI PER JAM KERJA</v>
          </cell>
        </row>
        <row r="973">
          <cell r="C973">
            <v>1</v>
          </cell>
          <cell r="D973" t="str">
            <v xml:space="preserve"> Nilai Sisa Alat</v>
          </cell>
          <cell r="E973" t="str">
            <v>=  10 % x B</v>
          </cell>
          <cell r="I973" t="str">
            <v>C</v>
          </cell>
          <cell r="J973">
            <v>43200000</v>
          </cell>
          <cell r="K973" t="str">
            <v>Rupiah</v>
          </cell>
        </row>
        <row r="974">
          <cell r="C974">
            <v>2</v>
          </cell>
          <cell r="D974" t="str">
            <v xml:space="preserve"> Faktor Angsuran Modal</v>
          </cell>
          <cell r="F974" t="str">
            <v>=</v>
          </cell>
          <cell r="G974" t="str">
            <v>i x ( 1 + i ) ^ A'</v>
          </cell>
          <cell r="I974" t="str">
            <v>D</v>
          </cell>
          <cell r="J974">
            <v>0.38628912071535026</v>
          </cell>
          <cell r="K974" t="str">
            <v>-</v>
          </cell>
        </row>
        <row r="975">
          <cell r="G975" t="str">
            <v>( 1 + i ) ^ A' - 1</v>
          </cell>
        </row>
        <row r="976">
          <cell r="C976">
            <v>3</v>
          </cell>
          <cell r="D976" t="str">
            <v xml:space="preserve"> Biaya Pasti per Jam  :</v>
          </cell>
        </row>
        <row r="977">
          <cell r="D977" t="str">
            <v xml:space="preserve"> a. Biaya Pengembalian Modal</v>
          </cell>
          <cell r="F977" t="str">
            <v>=</v>
          </cell>
          <cell r="G977" t="str">
            <v>( B' - C ) x D</v>
          </cell>
          <cell r="I977" t="str">
            <v>E</v>
          </cell>
          <cell r="J977">
            <v>75094.605067064098</v>
          </cell>
          <cell r="K977" t="str">
            <v>Rupiah</v>
          </cell>
        </row>
        <row r="978">
          <cell r="G978" t="str">
            <v>W'</v>
          </cell>
        </row>
        <row r="979">
          <cell r="D979" t="str">
            <v xml:space="preserve"> b. Asuransi, dll</v>
          </cell>
          <cell r="E979" t="str">
            <v>=</v>
          </cell>
          <cell r="G979" t="str">
            <v>0,002 x B'</v>
          </cell>
          <cell r="I979" t="str">
            <v>F</v>
          </cell>
          <cell r="J979">
            <v>432</v>
          </cell>
          <cell r="K979" t="str">
            <v>Rupiah</v>
          </cell>
        </row>
        <row r="980">
          <cell r="G980" t="str">
            <v>W'</v>
          </cell>
        </row>
        <row r="981">
          <cell r="D981" t="str">
            <v xml:space="preserve"> Biaya Pasti per Jam</v>
          </cell>
          <cell r="E981" t="str">
            <v>=</v>
          </cell>
          <cell r="G981" t="str">
            <v>( E + F )</v>
          </cell>
          <cell r="I981" t="str">
            <v>G</v>
          </cell>
          <cell r="J981">
            <v>75526.605067064098</v>
          </cell>
          <cell r="K981" t="str">
            <v>Rupiah</v>
          </cell>
        </row>
        <row r="983">
          <cell r="C983" t="str">
            <v>C.</v>
          </cell>
          <cell r="D983" t="str">
            <v xml:space="preserve"> BIAYA OPERASI PER JAM KERJA</v>
          </cell>
        </row>
        <row r="984">
          <cell r="C984">
            <v>1</v>
          </cell>
          <cell r="D984" t="str">
            <v xml:space="preserve"> Bahan Bakar </v>
          </cell>
          <cell r="E984" t="str">
            <v>=</v>
          </cell>
          <cell r="F984" t="str">
            <v>(0,125 - 0,175 Ltr/HP/Jam) x Pw x Ms</v>
          </cell>
          <cell r="I984" t="str">
            <v>H</v>
          </cell>
          <cell r="J984">
            <v>40312.5</v>
          </cell>
          <cell r="K984" t="str">
            <v>Rupiah</v>
          </cell>
        </row>
        <row r="985">
          <cell r="C985">
            <v>2</v>
          </cell>
          <cell r="D985" t="str">
            <v xml:space="preserve"> Pelumas</v>
          </cell>
          <cell r="E985" t="str">
            <v>=</v>
          </cell>
          <cell r="F985" t="str">
            <v>(0,01 - 0,02 Ltr/HP/Jam) x Pw x Mp</v>
          </cell>
          <cell r="I985" t="str">
            <v>I</v>
          </cell>
          <cell r="J985">
            <v>22500</v>
          </cell>
          <cell r="K985" t="str">
            <v>Rupiah</v>
          </cell>
        </row>
        <row r="986">
          <cell r="C986">
            <v>3</v>
          </cell>
          <cell r="D986" t="str">
            <v xml:space="preserve"> Perawatan dan Perbaikan</v>
          </cell>
          <cell r="F986" t="str">
            <v>=</v>
          </cell>
          <cell r="G986" t="str">
            <v xml:space="preserve"> ( 12,5 % - 17,5 % ) x B'</v>
          </cell>
          <cell r="I986" t="str">
            <v>K</v>
          </cell>
          <cell r="J986">
            <v>27000</v>
          </cell>
          <cell r="K986" t="str">
            <v>Rupiah</v>
          </cell>
        </row>
        <row r="987">
          <cell r="G987" t="str">
            <v xml:space="preserve"> W'</v>
          </cell>
        </row>
        <row r="988">
          <cell r="C988">
            <v>4</v>
          </cell>
          <cell r="D988" t="str">
            <v xml:space="preserve"> Operator</v>
          </cell>
          <cell r="E988" t="str">
            <v>=</v>
          </cell>
          <cell r="F988" t="str">
            <v>( 1 Orang / Jam ) x U1</v>
          </cell>
          <cell r="I988" t="str">
            <v>L</v>
          </cell>
          <cell r="J988">
            <v>10750</v>
          </cell>
          <cell r="K988" t="str">
            <v>Rupiah</v>
          </cell>
        </row>
        <row r="989">
          <cell r="C989">
            <v>5</v>
          </cell>
          <cell r="D989" t="str">
            <v xml:space="preserve"> Pembantu Operator</v>
          </cell>
          <cell r="E989" t="str">
            <v>=</v>
          </cell>
          <cell r="F989" t="str">
            <v>( 1 Orang / Jam ) x U2</v>
          </cell>
          <cell r="I989" t="str">
            <v>M</v>
          </cell>
          <cell r="J989">
            <v>4500</v>
          </cell>
          <cell r="K989" t="str">
            <v>Rupiah</v>
          </cell>
        </row>
        <row r="990">
          <cell r="D990" t="str">
            <v xml:space="preserve"> Biaya Operasi Per Jam </v>
          </cell>
          <cell r="F990" t="str">
            <v>=</v>
          </cell>
          <cell r="G990" t="str">
            <v xml:space="preserve"> ( H + I + K + L + M )</v>
          </cell>
          <cell r="I990" t="str">
            <v>P</v>
          </cell>
          <cell r="J990">
            <v>105062.5</v>
          </cell>
          <cell r="K990" t="str">
            <v>Rupiah</v>
          </cell>
        </row>
        <row r="992">
          <cell r="C992" t="str">
            <v>D.</v>
          </cell>
          <cell r="D992" t="str">
            <v xml:space="preserve"> TOTAL BIAYA SEWA ALAT / JAM   =   ( G + P )</v>
          </cell>
          <cell r="I992" t="str">
            <v>S</v>
          </cell>
          <cell r="J992">
            <v>180589.10506706411</v>
          </cell>
          <cell r="K992" t="str">
            <v>Rupiah</v>
          </cell>
        </row>
        <row r="994">
          <cell r="C994" t="str">
            <v>E.</v>
          </cell>
          <cell r="D994" t="str">
            <v xml:space="preserve"> LAIN - LAIN</v>
          </cell>
        </row>
        <row r="995">
          <cell r="C995">
            <v>1</v>
          </cell>
          <cell r="D995" t="str">
            <v xml:space="preserve"> Tingkat Suku Bunga</v>
          </cell>
          <cell r="I995" t="str">
            <v>i</v>
          </cell>
          <cell r="J995">
            <v>20</v>
          </cell>
          <cell r="K995" t="str">
            <v>% / Tahun</v>
          </cell>
        </row>
        <row r="996">
          <cell r="C996">
            <v>2</v>
          </cell>
          <cell r="D996" t="str">
            <v xml:space="preserve"> Upah Operator / Sopir</v>
          </cell>
          <cell r="I996" t="str">
            <v>U1</v>
          </cell>
          <cell r="J996">
            <v>10750</v>
          </cell>
          <cell r="K996" t="str">
            <v>Rp. / Jam</v>
          </cell>
        </row>
        <row r="997">
          <cell r="C997">
            <v>3</v>
          </cell>
          <cell r="D997" t="str">
            <v xml:space="preserve"> Upah Pembantu Operator / Pembantu Sopir</v>
          </cell>
          <cell r="I997" t="str">
            <v>U2</v>
          </cell>
          <cell r="J997">
            <v>4500</v>
          </cell>
          <cell r="K997" t="str">
            <v>Rp. / Jam</v>
          </cell>
        </row>
        <row r="998">
          <cell r="C998">
            <v>4</v>
          </cell>
          <cell r="D998" t="str">
            <v xml:space="preserve"> Bahan Bakar Bensin</v>
          </cell>
          <cell r="I998" t="str">
            <v>Mb</v>
          </cell>
          <cell r="J998">
            <v>4500</v>
          </cell>
          <cell r="K998" t="str">
            <v>Liter</v>
          </cell>
        </row>
        <row r="999">
          <cell r="C999">
            <v>5</v>
          </cell>
          <cell r="D999" t="str">
            <v xml:space="preserve"> Bahan Bakar Solar</v>
          </cell>
          <cell r="I999" t="str">
            <v>Ms</v>
          </cell>
          <cell r="J999">
            <v>4300</v>
          </cell>
          <cell r="K999" t="str">
            <v>Liter</v>
          </cell>
        </row>
        <row r="1000">
          <cell r="C1000">
            <v>6</v>
          </cell>
          <cell r="D1000" t="str">
            <v xml:space="preserve"> Minyak Pelumas</v>
          </cell>
          <cell r="I1000" t="str">
            <v>Mp</v>
          </cell>
          <cell r="J1000">
            <v>30000</v>
          </cell>
          <cell r="K1000" t="str">
            <v>Liter</v>
          </cell>
        </row>
        <row r="1001">
          <cell r="C1001">
            <v>7</v>
          </cell>
          <cell r="D1001" t="str">
            <v xml:space="preserve"> PPN diperhitungkan pada lembar Rekapitulasi Biaya Pekerjaan.</v>
          </cell>
        </row>
        <row r="1005">
          <cell r="C1005" t="str">
            <v>JENIS ALAT</v>
          </cell>
          <cell r="E1005" t="str">
            <v>:</v>
          </cell>
          <cell r="F1005" t="str">
            <v xml:space="preserve">CONCRETE VIBRATOR </v>
          </cell>
        </row>
        <row r="1006">
          <cell r="C1006" t="str">
            <v>PERUSAHAAN</v>
          </cell>
          <cell r="E1006" t="str">
            <v>:</v>
          </cell>
          <cell r="F1006" t="str">
            <v>NAD / ACEH TENGAH</v>
          </cell>
        </row>
        <row r="1008">
          <cell r="C1008" t="str">
            <v>No.</v>
          </cell>
          <cell r="D1008" t="str">
            <v>URAIAN</v>
          </cell>
          <cell r="I1008" t="str">
            <v>KODE</v>
          </cell>
          <cell r="J1008" t="str">
            <v>KOEF.</v>
          </cell>
          <cell r="K1008" t="str">
            <v>SATUAN</v>
          </cell>
          <cell r="L1008" t="str">
            <v>KET.</v>
          </cell>
        </row>
        <row r="1010">
          <cell r="C1010" t="str">
            <v>A.</v>
          </cell>
          <cell r="D1010" t="str">
            <v xml:space="preserve"> URAIAN PERALATAN</v>
          </cell>
        </row>
        <row r="1011">
          <cell r="C1011">
            <v>1</v>
          </cell>
          <cell r="D1011" t="str">
            <v xml:space="preserve"> Jenis Peralatan</v>
          </cell>
          <cell r="I1011" t="str">
            <v xml:space="preserve">CONCRETE VIBRATOR </v>
          </cell>
          <cell r="L1011" t="str">
            <v>E 20</v>
          </cell>
        </row>
        <row r="1012">
          <cell r="C1012">
            <v>2</v>
          </cell>
          <cell r="D1012" t="str">
            <v xml:space="preserve"> Tenaga</v>
          </cell>
          <cell r="I1012" t="str">
            <v>Pw</v>
          </cell>
          <cell r="J1012">
            <v>10</v>
          </cell>
          <cell r="K1012" t="str">
            <v>HP</v>
          </cell>
        </row>
        <row r="1013">
          <cell r="C1013">
            <v>3</v>
          </cell>
          <cell r="D1013" t="str">
            <v xml:space="preserve"> Kapasitas</v>
          </cell>
          <cell r="I1013" t="str">
            <v>Cp</v>
          </cell>
          <cell r="J1013" t="str">
            <v xml:space="preserve">-  </v>
          </cell>
          <cell r="K1013" t="str">
            <v>-</v>
          </cell>
        </row>
        <row r="1014">
          <cell r="C1014">
            <v>4</v>
          </cell>
          <cell r="D1014" t="str">
            <v xml:space="preserve"> Alat Baru</v>
          </cell>
          <cell r="E1014" t="str">
            <v>:</v>
          </cell>
          <cell r="F1014" t="str">
            <v>a.</v>
          </cell>
          <cell r="G1014" t="str">
            <v>Umur Ekonomis</v>
          </cell>
          <cell r="I1014" t="str">
            <v>A</v>
          </cell>
          <cell r="J1014">
            <v>4</v>
          </cell>
          <cell r="K1014" t="str">
            <v>Tahun</v>
          </cell>
        </row>
        <row r="1015">
          <cell r="F1015" t="str">
            <v>b.</v>
          </cell>
          <cell r="G1015" t="str">
            <v>Jam Kerja Dalam  1 Tahun</v>
          </cell>
          <cell r="I1015" t="str">
            <v>W</v>
          </cell>
          <cell r="J1015">
            <v>1000</v>
          </cell>
          <cell r="K1015" t="str">
            <v>Jam</v>
          </cell>
        </row>
        <row r="1016">
          <cell r="F1016" t="str">
            <v>c.</v>
          </cell>
          <cell r="G1016" t="str">
            <v>Harga Alat</v>
          </cell>
          <cell r="I1016" t="str">
            <v>B</v>
          </cell>
          <cell r="J1016">
            <v>21000000</v>
          </cell>
          <cell r="K1016" t="str">
            <v>Rupiah</v>
          </cell>
        </row>
        <row r="1017">
          <cell r="C1017">
            <v>5</v>
          </cell>
          <cell r="D1017" t="str">
            <v xml:space="preserve"> Alat Yang Dipakai</v>
          </cell>
          <cell r="E1017" t="str">
            <v>:</v>
          </cell>
          <cell r="F1017" t="str">
            <v>a.</v>
          </cell>
          <cell r="G1017" t="str">
            <v>Umur Ekonomis</v>
          </cell>
          <cell r="I1017" t="str">
            <v>A'</v>
          </cell>
          <cell r="J1017">
            <v>4</v>
          </cell>
          <cell r="K1017" t="str">
            <v>Tahun</v>
          </cell>
          <cell r="L1017" t="str">
            <v>Alat Baru</v>
          </cell>
        </row>
        <row r="1018">
          <cell r="F1018" t="str">
            <v>b.</v>
          </cell>
          <cell r="G1018" t="str">
            <v>Jam Kerja Dalam  1 Tahun</v>
          </cell>
          <cell r="I1018" t="str">
            <v>W'</v>
          </cell>
          <cell r="J1018">
            <v>1000</v>
          </cell>
          <cell r="K1018" t="str">
            <v>Jam</v>
          </cell>
          <cell r="L1018" t="str">
            <v>Alat Baru</v>
          </cell>
        </row>
        <row r="1019">
          <cell r="F1019" t="str">
            <v>c.</v>
          </cell>
          <cell r="G1019" t="str">
            <v>Harga Alat  ( * )</v>
          </cell>
          <cell r="I1019" t="str">
            <v>B'</v>
          </cell>
          <cell r="J1019">
            <v>21000000</v>
          </cell>
          <cell r="K1019" t="str">
            <v>Rupiah</v>
          </cell>
          <cell r="L1019" t="str">
            <v>Alat Baru</v>
          </cell>
        </row>
        <row r="1021">
          <cell r="C1021" t="str">
            <v>B.</v>
          </cell>
          <cell r="D1021" t="str">
            <v xml:space="preserve"> BIAYA PASTI PER JAM KERJA</v>
          </cell>
        </row>
        <row r="1022">
          <cell r="C1022">
            <v>1</v>
          </cell>
          <cell r="D1022" t="str">
            <v xml:space="preserve"> Nilai Sisa Alat</v>
          </cell>
          <cell r="E1022" t="str">
            <v>=  10 % x B</v>
          </cell>
          <cell r="I1022" t="str">
            <v>C</v>
          </cell>
          <cell r="J1022">
            <v>2100000</v>
          </cell>
          <cell r="K1022" t="str">
            <v>Rupiah</v>
          </cell>
        </row>
        <row r="1023">
          <cell r="C1023">
            <v>2</v>
          </cell>
          <cell r="D1023" t="str">
            <v xml:space="preserve"> Faktor Angsuran Modal</v>
          </cell>
          <cell r="F1023" t="str">
            <v>=</v>
          </cell>
          <cell r="G1023" t="str">
            <v>i x ( 1 + i ) ^ A'</v>
          </cell>
          <cell r="I1023" t="str">
            <v>D</v>
          </cell>
          <cell r="J1023">
            <v>0.38628912071535026</v>
          </cell>
          <cell r="K1023" t="str">
            <v>-</v>
          </cell>
        </row>
        <row r="1024">
          <cell r="G1024" t="str">
            <v>( 1 + i ) ^ A' - 1</v>
          </cell>
        </row>
        <row r="1025">
          <cell r="C1025">
            <v>3</v>
          </cell>
          <cell r="D1025" t="str">
            <v xml:space="preserve"> Biaya Pasti per Jam  :</v>
          </cell>
        </row>
        <row r="1026">
          <cell r="D1026" t="str">
            <v xml:space="preserve"> a. Biaya Pengembalian Modal</v>
          </cell>
          <cell r="F1026" t="str">
            <v>=</v>
          </cell>
          <cell r="G1026" t="str">
            <v>( B' - C ) x D</v>
          </cell>
          <cell r="I1026" t="str">
            <v>E</v>
          </cell>
          <cell r="J1026">
            <v>7300.8643815201203</v>
          </cell>
          <cell r="K1026" t="str">
            <v>Rupiah</v>
          </cell>
        </row>
        <row r="1027">
          <cell r="G1027" t="str">
            <v>W'</v>
          </cell>
        </row>
        <row r="1028">
          <cell r="D1028" t="str">
            <v xml:space="preserve"> b. Asuransi, dll</v>
          </cell>
          <cell r="E1028" t="str">
            <v>=</v>
          </cell>
          <cell r="G1028" t="str">
            <v>0,002 x B'</v>
          </cell>
          <cell r="I1028" t="str">
            <v>F</v>
          </cell>
          <cell r="J1028">
            <v>42</v>
          </cell>
          <cell r="K1028" t="str">
            <v>Rupiah</v>
          </cell>
        </row>
        <row r="1029">
          <cell r="G1029" t="str">
            <v>W'</v>
          </cell>
        </row>
        <row r="1030">
          <cell r="D1030" t="str">
            <v xml:space="preserve"> Biaya Pasti per Jam</v>
          </cell>
          <cell r="E1030" t="str">
            <v>=</v>
          </cell>
          <cell r="G1030" t="str">
            <v>( E + F )</v>
          </cell>
          <cell r="I1030" t="str">
            <v>G</v>
          </cell>
          <cell r="J1030">
            <v>7342.8643815201203</v>
          </cell>
          <cell r="K1030" t="str">
            <v>Rupiah</v>
          </cell>
        </row>
        <row r="1032">
          <cell r="C1032" t="str">
            <v>C.</v>
          </cell>
          <cell r="D1032" t="str">
            <v xml:space="preserve"> BIAYA OPERASI PER JAM KERJA</v>
          </cell>
        </row>
        <row r="1033">
          <cell r="C1033">
            <v>1</v>
          </cell>
          <cell r="D1033" t="str">
            <v xml:space="preserve"> Bahan Bakar </v>
          </cell>
          <cell r="E1033" t="str">
            <v>=</v>
          </cell>
          <cell r="F1033" t="str">
            <v>(0,125 - 0,175 Ltr/HP/Jam) x Pw x Ms</v>
          </cell>
          <cell r="I1033" t="str">
            <v>H</v>
          </cell>
          <cell r="J1033">
            <v>5375</v>
          </cell>
          <cell r="K1033" t="str">
            <v>Rupiah</v>
          </cell>
        </row>
        <row r="1034">
          <cell r="C1034">
            <v>2</v>
          </cell>
          <cell r="D1034" t="str">
            <v xml:space="preserve"> Pelumas</v>
          </cell>
          <cell r="E1034" t="str">
            <v>=</v>
          </cell>
          <cell r="F1034" t="str">
            <v>(0,01 - 0,02 Ltr/HP/Jam) x Pw x Mp</v>
          </cell>
          <cell r="I1034" t="str">
            <v>I</v>
          </cell>
          <cell r="J1034">
            <v>3000</v>
          </cell>
          <cell r="K1034" t="str">
            <v>Rupiah</v>
          </cell>
        </row>
        <row r="1035">
          <cell r="C1035">
            <v>3</v>
          </cell>
          <cell r="D1035" t="str">
            <v xml:space="preserve"> Perawatan dan Perbaikan</v>
          </cell>
          <cell r="F1035" t="str">
            <v>=</v>
          </cell>
          <cell r="G1035" t="str">
            <v xml:space="preserve"> ( 12,5 % - 17,5 % ) x B'</v>
          </cell>
          <cell r="I1035" t="str">
            <v>K</v>
          </cell>
          <cell r="J1035">
            <v>2625</v>
          </cell>
          <cell r="K1035" t="str">
            <v>Rupiah</v>
          </cell>
        </row>
        <row r="1036">
          <cell r="G1036" t="str">
            <v xml:space="preserve"> W'</v>
          </cell>
        </row>
        <row r="1037">
          <cell r="C1037">
            <v>4</v>
          </cell>
          <cell r="D1037" t="str">
            <v xml:space="preserve"> Operator</v>
          </cell>
          <cell r="E1037" t="str">
            <v>=</v>
          </cell>
          <cell r="F1037" t="str">
            <v>( 1 Orang / Jam ) x U1</v>
          </cell>
          <cell r="I1037" t="str">
            <v>L</v>
          </cell>
          <cell r="J1037">
            <v>10750</v>
          </cell>
          <cell r="K1037" t="str">
            <v>Rupiah</v>
          </cell>
        </row>
        <row r="1038">
          <cell r="C1038">
            <v>5</v>
          </cell>
          <cell r="D1038" t="str">
            <v xml:space="preserve"> Pembantu Operator</v>
          </cell>
          <cell r="E1038" t="str">
            <v>=</v>
          </cell>
          <cell r="F1038" t="str">
            <v>( 1 Orang / Jam ) x U2</v>
          </cell>
          <cell r="I1038" t="str">
            <v>M</v>
          </cell>
          <cell r="J1038">
            <v>4500</v>
          </cell>
          <cell r="K1038" t="str">
            <v>Rupiah</v>
          </cell>
        </row>
        <row r="1039">
          <cell r="D1039" t="str">
            <v xml:space="preserve"> Biaya Operasi Per Jam </v>
          </cell>
          <cell r="F1039" t="str">
            <v>=</v>
          </cell>
          <cell r="G1039" t="str">
            <v xml:space="preserve"> ( H + I + K + L + M )</v>
          </cell>
          <cell r="I1039" t="str">
            <v>P</v>
          </cell>
          <cell r="J1039">
            <v>26250</v>
          </cell>
          <cell r="K1039" t="str">
            <v>Rupiah</v>
          </cell>
        </row>
        <row r="1041">
          <cell r="C1041" t="str">
            <v>D.</v>
          </cell>
          <cell r="D1041" t="str">
            <v xml:space="preserve"> TOTAL BIAYA SEWA ALAT / JAM   =   ( G + P )</v>
          </cell>
          <cell r="I1041" t="str">
            <v>S</v>
          </cell>
          <cell r="J1041">
            <v>33592.864381520121</v>
          </cell>
          <cell r="K1041" t="str">
            <v>Rupiah</v>
          </cell>
        </row>
        <row r="1043">
          <cell r="C1043" t="str">
            <v>E.</v>
          </cell>
          <cell r="D1043" t="str">
            <v xml:space="preserve"> LAIN - LAIN</v>
          </cell>
        </row>
        <row r="1044">
          <cell r="C1044">
            <v>1</v>
          </cell>
          <cell r="D1044" t="str">
            <v xml:space="preserve"> Tingkat Suku Bunga</v>
          </cell>
          <cell r="I1044" t="str">
            <v>i</v>
          </cell>
          <cell r="J1044">
            <v>20</v>
          </cell>
          <cell r="K1044" t="str">
            <v>% / Tahun</v>
          </cell>
        </row>
        <row r="1045">
          <cell r="C1045">
            <v>2</v>
          </cell>
          <cell r="D1045" t="str">
            <v xml:space="preserve"> Upah Operator / Sopir</v>
          </cell>
          <cell r="I1045" t="str">
            <v>U1</v>
          </cell>
          <cell r="J1045">
            <v>10750</v>
          </cell>
          <cell r="K1045" t="str">
            <v>Rp. / Jam</v>
          </cell>
        </row>
        <row r="1046">
          <cell r="C1046">
            <v>3</v>
          </cell>
          <cell r="D1046" t="str">
            <v xml:space="preserve"> Upah Pembantu Operator / Pembantu Sopir</v>
          </cell>
          <cell r="I1046" t="str">
            <v>U2</v>
          </cell>
          <cell r="J1046">
            <v>4500</v>
          </cell>
          <cell r="K1046" t="str">
            <v>Rp. / Jam</v>
          </cell>
        </row>
        <row r="1047">
          <cell r="C1047">
            <v>4</v>
          </cell>
          <cell r="D1047" t="str">
            <v xml:space="preserve"> Bahan Bakar Bensin</v>
          </cell>
          <cell r="I1047" t="str">
            <v>Mb</v>
          </cell>
          <cell r="J1047">
            <v>4500</v>
          </cell>
          <cell r="K1047" t="str">
            <v>Liter</v>
          </cell>
        </row>
        <row r="1048">
          <cell r="C1048">
            <v>5</v>
          </cell>
          <cell r="D1048" t="str">
            <v xml:space="preserve"> Bahan Bakar Solar</v>
          </cell>
          <cell r="I1048" t="str">
            <v>Ms</v>
          </cell>
          <cell r="J1048">
            <v>4300</v>
          </cell>
          <cell r="K1048" t="str">
            <v>Liter</v>
          </cell>
        </row>
        <row r="1049">
          <cell r="C1049">
            <v>6</v>
          </cell>
          <cell r="D1049" t="str">
            <v xml:space="preserve"> Minyak Pelumas</v>
          </cell>
          <cell r="I1049" t="str">
            <v>Mp</v>
          </cell>
          <cell r="J1049">
            <v>30000</v>
          </cell>
          <cell r="K1049" t="str">
            <v>Liter</v>
          </cell>
        </row>
        <row r="1050">
          <cell r="C1050">
            <v>7</v>
          </cell>
          <cell r="D1050" t="str">
            <v xml:space="preserve"> PPN diperhitungkan pada lembar Rekapitulasi Biaya Pekerjaan.</v>
          </cell>
        </row>
        <row r="1054">
          <cell r="C1054" t="str">
            <v>JENIS ALAT</v>
          </cell>
          <cell r="E1054" t="str">
            <v>:</v>
          </cell>
          <cell r="F1054" t="str">
            <v>STONE CRUSHER</v>
          </cell>
        </row>
        <row r="1055">
          <cell r="C1055" t="str">
            <v>PERUSAHAAN</v>
          </cell>
          <cell r="E1055" t="str">
            <v>:</v>
          </cell>
          <cell r="F1055" t="str">
            <v>NAD / ACEH TENGAH</v>
          </cell>
        </row>
        <row r="1057">
          <cell r="C1057" t="str">
            <v>No.</v>
          </cell>
          <cell r="D1057" t="str">
            <v>URAIAN</v>
          </cell>
          <cell r="I1057" t="str">
            <v>KODE</v>
          </cell>
          <cell r="J1057" t="str">
            <v>KOEF.</v>
          </cell>
          <cell r="K1057" t="str">
            <v>SATUAN</v>
          </cell>
          <cell r="L1057" t="str">
            <v>KET.</v>
          </cell>
        </row>
        <row r="1059">
          <cell r="C1059" t="str">
            <v>A.</v>
          </cell>
          <cell r="D1059" t="str">
            <v xml:space="preserve"> URAIAN PERALATAN</v>
          </cell>
        </row>
        <row r="1060">
          <cell r="C1060">
            <v>1</v>
          </cell>
          <cell r="D1060" t="str">
            <v xml:space="preserve"> Jenis Peralatan</v>
          </cell>
          <cell r="I1060" t="str">
            <v>STONE CRUSHER</v>
          </cell>
          <cell r="L1060" t="str">
            <v>E 21</v>
          </cell>
        </row>
        <row r="1061">
          <cell r="C1061">
            <v>2</v>
          </cell>
          <cell r="D1061" t="str">
            <v xml:space="preserve"> Tenaga</v>
          </cell>
          <cell r="I1061" t="str">
            <v>Pw</v>
          </cell>
          <cell r="J1061">
            <v>220</v>
          </cell>
          <cell r="K1061" t="str">
            <v>HP</v>
          </cell>
        </row>
        <row r="1062">
          <cell r="C1062">
            <v>3</v>
          </cell>
          <cell r="D1062" t="str">
            <v xml:space="preserve"> Kapasitas</v>
          </cell>
          <cell r="I1062" t="str">
            <v>Cp</v>
          </cell>
          <cell r="J1062">
            <v>50</v>
          </cell>
          <cell r="K1062" t="str">
            <v>Ton/Jam</v>
          </cell>
        </row>
        <row r="1063">
          <cell r="C1063">
            <v>4</v>
          </cell>
          <cell r="D1063" t="str">
            <v xml:space="preserve"> Alat Baru</v>
          </cell>
          <cell r="E1063" t="str">
            <v>:</v>
          </cell>
          <cell r="F1063" t="str">
            <v>a.</v>
          </cell>
          <cell r="G1063" t="str">
            <v>Umur Ekonomis</v>
          </cell>
          <cell r="I1063" t="str">
            <v>A</v>
          </cell>
          <cell r="J1063">
            <v>5</v>
          </cell>
          <cell r="K1063" t="str">
            <v>Tahun</v>
          </cell>
        </row>
        <row r="1064">
          <cell r="F1064" t="str">
            <v>b.</v>
          </cell>
          <cell r="G1064" t="str">
            <v>Jam Kerja Dalam  1 Tahun</v>
          </cell>
          <cell r="I1064" t="str">
            <v>W</v>
          </cell>
          <cell r="J1064">
            <v>2000</v>
          </cell>
          <cell r="K1064" t="str">
            <v>Jam</v>
          </cell>
        </row>
        <row r="1065">
          <cell r="F1065" t="str">
            <v>c.</v>
          </cell>
          <cell r="G1065" t="str">
            <v>Harga Alat</v>
          </cell>
          <cell r="I1065" t="str">
            <v>B</v>
          </cell>
          <cell r="J1065">
            <v>695000000</v>
          </cell>
          <cell r="K1065" t="str">
            <v>Rupiah</v>
          </cell>
        </row>
        <row r="1066">
          <cell r="C1066">
            <v>5</v>
          </cell>
          <cell r="D1066" t="str">
            <v xml:space="preserve"> Alat Yang Dipakai</v>
          </cell>
          <cell r="E1066" t="str">
            <v>:</v>
          </cell>
          <cell r="F1066" t="str">
            <v>a.</v>
          </cell>
          <cell r="G1066" t="str">
            <v>Umur Ekonomis</v>
          </cell>
          <cell r="I1066" t="str">
            <v>A'</v>
          </cell>
          <cell r="J1066">
            <v>5</v>
          </cell>
          <cell r="K1066" t="str">
            <v>Tahun</v>
          </cell>
          <cell r="L1066" t="str">
            <v>Alat Baru</v>
          </cell>
        </row>
        <row r="1067">
          <cell r="F1067" t="str">
            <v>b.</v>
          </cell>
          <cell r="G1067" t="str">
            <v>Jam Kerja Dalam  1 Tahun</v>
          </cell>
          <cell r="I1067" t="str">
            <v>W'</v>
          </cell>
          <cell r="J1067">
            <v>2000</v>
          </cell>
          <cell r="K1067" t="str">
            <v>Jam</v>
          </cell>
          <cell r="L1067" t="str">
            <v>Alat Baru</v>
          </cell>
        </row>
        <row r="1068">
          <cell r="F1068" t="str">
            <v>c.</v>
          </cell>
          <cell r="G1068" t="str">
            <v>Harga Alat  ( * )</v>
          </cell>
          <cell r="I1068" t="str">
            <v>B'</v>
          </cell>
          <cell r="J1068">
            <v>695000000</v>
          </cell>
          <cell r="K1068" t="str">
            <v>Rupiah</v>
          </cell>
          <cell r="L1068" t="str">
            <v>Alat Baru</v>
          </cell>
        </row>
        <row r="1070">
          <cell r="C1070" t="str">
            <v>B.</v>
          </cell>
          <cell r="D1070" t="str">
            <v xml:space="preserve"> BIAYA PASTI PER JAM KERJA</v>
          </cell>
        </row>
        <row r="1071">
          <cell r="C1071">
            <v>1</v>
          </cell>
          <cell r="D1071" t="str">
            <v xml:space="preserve"> Nilai Sisa Alat</v>
          </cell>
          <cell r="E1071" t="str">
            <v>=  10 % x B</v>
          </cell>
          <cell r="I1071" t="str">
            <v>C</v>
          </cell>
          <cell r="J1071">
            <v>69500000</v>
          </cell>
          <cell r="K1071" t="str">
            <v>Rupiah</v>
          </cell>
        </row>
        <row r="1072">
          <cell r="C1072">
            <v>2</v>
          </cell>
          <cell r="D1072" t="str">
            <v xml:space="preserve"> Faktor Angsuran Modal</v>
          </cell>
          <cell r="F1072" t="str">
            <v>=</v>
          </cell>
          <cell r="G1072" t="str">
            <v>i x ( 1 + i ) ^ A'</v>
          </cell>
          <cell r="I1072" t="str">
            <v>D</v>
          </cell>
          <cell r="J1072">
            <v>0.33437970328961514</v>
          </cell>
          <cell r="K1072" t="str">
            <v>-</v>
          </cell>
        </row>
        <row r="1073">
          <cell r="G1073" t="str">
            <v>( 1 + i ) ^ A' - 1</v>
          </cell>
        </row>
        <row r="1074">
          <cell r="C1074">
            <v>3</v>
          </cell>
          <cell r="D1074" t="str">
            <v xml:space="preserve"> Biaya Pasti per Jam  :</v>
          </cell>
        </row>
        <row r="1075">
          <cell r="D1075" t="str">
            <v xml:space="preserve"> a. Biaya Pengembalian Modal</v>
          </cell>
          <cell r="F1075" t="str">
            <v>=</v>
          </cell>
          <cell r="G1075" t="str">
            <v>( B' - C ) x D</v>
          </cell>
          <cell r="I1075" t="str">
            <v>E</v>
          </cell>
          <cell r="J1075">
            <v>104577.25220382713</v>
          </cell>
          <cell r="K1075" t="str">
            <v>Rupiah</v>
          </cell>
        </row>
        <row r="1076">
          <cell r="G1076" t="str">
            <v>W'</v>
          </cell>
        </row>
        <row r="1077">
          <cell r="D1077" t="str">
            <v xml:space="preserve"> b. Asuransi, dll</v>
          </cell>
          <cell r="E1077" t="str">
            <v>=</v>
          </cell>
          <cell r="G1077" t="str">
            <v>0,002 x B'</v>
          </cell>
          <cell r="I1077" t="str">
            <v>F</v>
          </cell>
          <cell r="J1077">
            <v>695</v>
          </cell>
          <cell r="K1077" t="str">
            <v>Rupiah</v>
          </cell>
        </row>
        <row r="1078">
          <cell r="G1078" t="str">
            <v>W'</v>
          </cell>
        </row>
        <row r="1079">
          <cell r="D1079" t="str">
            <v xml:space="preserve"> Biaya Pasti per Jam</v>
          </cell>
          <cell r="E1079" t="str">
            <v>=</v>
          </cell>
          <cell r="G1079" t="str">
            <v>( E + F )</v>
          </cell>
          <cell r="I1079" t="str">
            <v>G</v>
          </cell>
          <cell r="J1079">
            <v>105272.25220382713</v>
          </cell>
          <cell r="K1079" t="str">
            <v>Rupiah</v>
          </cell>
        </row>
        <row r="1081">
          <cell r="C1081" t="str">
            <v>C.</v>
          </cell>
          <cell r="D1081" t="str">
            <v xml:space="preserve"> BIAYA OPERASI PER JAM KERJA</v>
          </cell>
        </row>
        <row r="1082">
          <cell r="C1082">
            <v>1</v>
          </cell>
          <cell r="D1082" t="str">
            <v xml:space="preserve"> Bahan Bakar </v>
          </cell>
          <cell r="E1082" t="str">
            <v>=</v>
          </cell>
          <cell r="F1082" t="str">
            <v>(0,125 - 0,175 Ltr/HP/Jam) x Pw x Ms</v>
          </cell>
          <cell r="I1082" t="str">
            <v>H</v>
          </cell>
          <cell r="J1082">
            <v>118250</v>
          </cell>
          <cell r="K1082" t="str">
            <v>Rupiah</v>
          </cell>
        </row>
        <row r="1083">
          <cell r="C1083">
            <v>2</v>
          </cell>
          <cell r="D1083" t="str">
            <v xml:space="preserve"> Pelumas</v>
          </cell>
          <cell r="E1083" t="str">
            <v>=</v>
          </cell>
          <cell r="F1083" t="str">
            <v>(0,01 - 0,02 Ltr/HP/Jam) x Pw x Mp</v>
          </cell>
          <cell r="I1083" t="str">
            <v>I</v>
          </cell>
          <cell r="J1083">
            <v>66000</v>
          </cell>
          <cell r="K1083" t="str">
            <v>Rupiah</v>
          </cell>
        </row>
        <row r="1084">
          <cell r="C1084">
            <v>3</v>
          </cell>
          <cell r="D1084" t="str">
            <v xml:space="preserve"> Perawatan dan Perbaikan</v>
          </cell>
          <cell r="F1084" t="str">
            <v>=</v>
          </cell>
          <cell r="G1084" t="str">
            <v xml:space="preserve"> ( 12,5 % - 17,5 % ) x B'</v>
          </cell>
          <cell r="I1084" t="str">
            <v>K</v>
          </cell>
          <cell r="J1084">
            <v>43437.5</v>
          </cell>
          <cell r="K1084" t="str">
            <v>Rupiah</v>
          </cell>
        </row>
        <row r="1085">
          <cell r="G1085" t="str">
            <v xml:space="preserve"> W'</v>
          </cell>
        </row>
        <row r="1086">
          <cell r="C1086">
            <v>4</v>
          </cell>
          <cell r="D1086" t="str">
            <v xml:space="preserve"> Operator</v>
          </cell>
          <cell r="E1086" t="str">
            <v>=</v>
          </cell>
          <cell r="F1086" t="str">
            <v>( 1 Orang / Jam ) x U1</v>
          </cell>
          <cell r="I1086" t="str">
            <v>L</v>
          </cell>
          <cell r="J1086">
            <v>10750</v>
          </cell>
          <cell r="K1086" t="str">
            <v>Rupiah</v>
          </cell>
        </row>
        <row r="1087">
          <cell r="C1087">
            <v>5</v>
          </cell>
          <cell r="D1087" t="str">
            <v xml:space="preserve"> Pembantu Operator</v>
          </cell>
          <cell r="E1087" t="str">
            <v>=</v>
          </cell>
          <cell r="F1087" t="str">
            <v>( 2 Orang / Jam ) x U2</v>
          </cell>
          <cell r="I1087" t="str">
            <v>M</v>
          </cell>
          <cell r="J1087">
            <v>9000</v>
          </cell>
          <cell r="K1087" t="str">
            <v>Rupiah</v>
          </cell>
        </row>
        <row r="1089">
          <cell r="D1089" t="str">
            <v xml:space="preserve"> Biaya Operasi Per Jam </v>
          </cell>
          <cell r="F1089" t="str">
            <v>=</v>
          </cell>
          <cell r="G1089" t="str">
            <v xml:space="preserve"> ( H + I + K + L + M )</v>
          </cell>
          <cell r="I1089" t="str">
            <v>P</v>
          </cell>
          <cell r="J1089">
            <v>247437.5</v>
          </cell>
          <cell r="K1089" t="str">
            <v>Rupiah</v>
          </cell>
        </row>
        <row r="1091">
          <cell r="C1091" t="str">
            <v>D.</v>
          </cell>
          <cell r="D1091" t="str">
            <v xml:space="preserve"> TOTAL BIAYA SEWA ALAT / JAM   =   ( G + P )</v>
          </cell>
          <cell r="I1091" t="str">
            <v>S</v>
          </cell>
          <cell r="J1091">
            <v>352709.75220382714</v>
          </cell>
          <cell r="K1091" t="str">
            <v>Rupiah</v>
          </cell>
        </row>
        <row r="1093">
          <cell r="C1093" t="str">
            <v>E.</v>
          </cell>
          <cell r="D1093" t="str">
            <v xml:space="preserve"> LAIN - LAIN</v>
          </cell>
        </row>
        <row r="1094">
          <cell r="C1094">
            <v>1</v>
          </cell>
          <cell r="D1094" t="str">
            <v xml:space="preserve"> Tingkat Suku Bunga</v>
          </cell>
          <cell r="I1094" t="str">
            <v>i</v>
          </cell>
          <cell r="J1094">
            <v>20</v>
          </cell>
          <cell r="K1094" t="str">
            <v>% / Tahun</v>
          </cell>
        </row>
        <row r="1095">
          <cell r="C1095">
            <v>2</v>
          </cell>
          <cell r="D1095" t="str">
            <v xml:space="preserve"> Upah Operator / Sopir</v>
          </cell>
          <cell r="I1095" t="str">
            <v>U1</v>
          </cell>
          <cell r="J1095">
            <v>10750</v>
          </cell>
          <cell r="K1095" t="str">
            <v>Rp. / Jam</v>
          </cell>
        </row>
        <row r="1096">
          <cell r="C1096">
            <v>3</v>
          </cell>
          <cell r="D1096" t="str">
            <v xml:space="preserve"> Upah Pembantu Operator / Pembantu Sopir</v>
          </cell>
          <cell r="I1096" t="str">
            <v>U2</v>
          </cell>
          <cell r="J1096">
            <v>4500</v>
          </cell>
          <cell r="K1096" t="str">
            <v>Rp. / Jam</v>
          </cell>
        </row>
        <row r="1097">
          <cell r="C1097">
            <v>4</v>
          </cell>
          <cell r="D1097" t="str">
            <v xml:space="preserve"> Bahan Bakar Bensin</v>
          </cell>
          <cell r="I1097" t="str">
            <v>Mb</v>
          </cell>
          <cell r="J1097">
            <v>4500</v>
          </cell>
          <cell r="K1097" t="str">
            <v>Liter</v>
          </cell>
        </row>
        <row r="1098">
          <cell r="C1098">
            <v>5</v>
          </cell>
          <cell r="D1098" t="str">
            <v xml:space="preserve"> Bahan Bakar Solar</v>
          </cell>
          <cell r="I1098" t="str">
            <v>Ms</v>
          </cell>
          <cell r="J1098">
            <v>4300</v>
          </cell>
          <cell r="K1098" t="str">
            <v>Liter</v>
          </cell>
        </row>
        <row r="1099">
          <cell r="C1099">
            <v>6</v>
          </cell>
          <cell r="D1099" t="str">
            <v xml:space="preserve"> Minyak Pelumas</v>
          </cell>
          <cell r="I1099" t="str">
            <v>Mp</v>
          </cell>
          <cell r="J1099">
            <v>30000</v>
          </cell>
          <cell r="K1099" t="str">
            <v>Liter</v>
          </cell>
        </row>
        <row r="1100">
          <cell r="C1100">
            <v>7</v>
          </cell>
          <cell r="D1100" t="str">
            <v xml:space="preserve"> PPN diperhitungkan pada lembar Rekapitulasi Biaya Pekerjaan.</v>
          </cell>
        </row>
        <row r="1104">
          <cell r="C1104" t="str">
            <v>JENIS ALAT</v>
          </cell>
          <cell r="E1104" t="str">
            <v>:</v>
          </cell>
          <cell r="F1104" t="str">
            <v>WATER PUMP 70-100 MM</v>
          </cell>
        </row>
        <row r="1105">
          <cell r="C1105" t="str">
            <v>PERUSAHAAN</v>
          </cell>
          <cell r="E1105" t="str">
            <v>:</v>
          </cell>
          <cell r="F1105" t="str">
            <v>NAD / ACEH TENGAH</v>
          </cell>
        </row>
        <row r="1107">
          <cell r="C1107" t="str">
            <v>No.</v>
          </cell>
          <cell r="D1107" t="str">
            <v>URAIAN</v>
          </cell>
          <cell r="I1107" t="str">
            <v>KODE</v>
          </cell>
          <cell r="J1107" t="str">
            <v>KOEF.</v>
          </cell>
          <cell r="K1107" t="str">
            <v>SATUAN</v>
          </cell>
          <cell r="L1107" t="str">
            <v>KET.</v>
          </cell>
        </row>
        <row r="1109">
          <cell r="C1109" t="str">
            <v>A.</v>
          </cell>
          <cell r="D1109" t="str">
            <v xml:space="preserve"> URAIAN PERALATAN</v>
          </cell>
        </row>
        <row r="1110">
          <cell r="C1110">
            <v>1</v>
          </cell>
          <cell r="D1110" t="str">
            <v xml:space="preserve"> Jenis Peralatan</v>
          </cell>
          <cell r="I1110" t="str">
            <v>WATER PUMP 70-100 MM</v>
          </cell>
          <cell r="L1110" t="str">
            <v>E 22</v>
          </cell>
        </row>
        <row r="1111">
          <cell r="C1111">
            <v>2</v>
          </cell>
          <cell r="D1111" t="str">
            <v xml:space="preserve"> Tenaga</v>
          </cell>
          <cell r="I1111" t="str">
            <v>Pw</v>
          </cell>
          <cell r="J1111">
            <v>6</v>
          </cell>
          <cell r="K1111" t="str">
            <v>HP</v>
          </cell>
        </row>
        <row r="1112">
          <cell r="C1112">
            <v>3</v>
          </cell>
          <cell r="D1112" t="str">
            <v xml:space="preserve"> Kapasitas</v>
          </cell>
          <cell r="I1112" t="str">
            <v>Cp</v>
          </cell>
          <cell r="J1112" t="str">
            <v xml:space="preserve">-  </v>
          </cell>
          <cell r="K1112" t="str">
            <v>-</v>
          </cell>
        </row>
        <row r="1113">
          <cell r="C1113">
            <v>4</v>
          </cell>
          <cell r="D1113" t="str">
            <v xml:space="preserve"> Alat Baru</v>
          </cell>
          <cell r="E1113" t="str">
            <v>:</v>
          </cell>
          <cell r="F1113" t="str">
            <v>a.</v>
          </cell>
          <cell r="G1113" t="str">
            <v>Umur Ekonomis</v>
          </cell>
          <cell r="I1113" t="str">
            <v>A</v>
          </cell>
          <cell r="J1113">
            <v>2</v>
          </cell>
          <cell r="K1113" t="str">
            <v>Tahun</v>
          </cell>
        </row>
        <row r="1114">
          <cell r="F1114" t="str">
            <v>b.</v>
          </cell>
          <cell r="G1114" t="str">
            <v>Jam Kerja Dalam  1 Tahun</v>
          </cell>
          <cell r="I1114" t="str">
            <v>W</v>
          </cell>
          <cell r="J1114">
            <v>2000</v>
          </cell>
          <cell r="K1114" t="str">
            <v>Jam</v>
          </cell>
        </row>
        <row r="1115">
          <cell r="F1115" t="str">
            <v>c.</v>
          </cell>
          <cell r="G1115" t="str">
            <v>Harga Alat</v>
          </cell>
          <cell r="I1115" t="str">
            <v>B</v>
          </cell>
          <cell r="J1115">
            <v>6500000</v>
          </cell>
          <cell r="K1115" t="str">
            <v>Rupiah</v>
          </cell>
        </row>
        <row r="1116">
          <cell r="C1116">
            <v>5</v>
          </cell>
          <cell r="D1116" t="str">
            <v xml:space="preserve"> Alat Yang Dipakai</v>
          </cell>
          <cell r="E1116" t="str">
            <v>:</v>
          </cell>
          <cell r="F1116" t="str">
            <v>a.</v>
          </cell>
          <cell r="G1116" t="str">
            <v>Umur Ekonomis</v>
          </cell>
          <cell r="I1116" t="str">
            <v>A'</v>
          </cell>
          <cell r="J1116">
            <v>2</v>
          </cell>
          <cell r="K1116" t="str">
            <v>Tahun</v>
          </cell>
          <cell r="L1116" t="str">
            <v>Alat Baru</v>
          </cell>
        </row>
        <row r="1117">
          <cell r="F1117" t="str">
            <v>b.</v>
          </cell>
          <cell r="G1117" t="str">
            <v>Jam Kerja Dalam  1 Tahun</v>
          </cell>
          <cell r="I1117" t="str">
            <v>W'</v>
          </cell>
          <cell r="J1117">
            <v>2000</v>
          </cell>
          <cell r="K1117" t="str">
            <v>Jam</v>
          </cell>
          <cell r="L1117" t="str">
            <v>Alat Baru</v>
          </cell>
        </row>
        <row r="1118">
          <cell r="F1118" t="str">
            <v>c.</v>
          </cell>
          <cell r="G1118" t="str">
            <v>Harga Alat  ( * )</v>
          </cell>
          <cell r="I1118" t="str">
            <v>B'</v>
          </cell>
          <cell r="J1118">
            <v>6500000</v>
          </cell>
          <cell r="K1118" t="str">
            <v>Rupiah</v>
          </cell>
          <cell r="L1118" t="str">
            <v>Alat Baru</v>
          </cell>
        </row>
        <row r="1120">
          <cell r="C1120" t="str">
            <v>B.</v>
          </cell>
          <cell r="D1120" t="str">
            <v xml:space="preserve"> BIAYA PASTI PER JAM KERJA</v>
          </cell>
        </row>
        <row r="1121">
          <cell r="C1121">
            <v>1</v>
          </cell>
          <cell r="D1121" t="str">
            <v xml:space="preserve"> Nilai Sisa Alat</v>
          </cell>
          <cell r="E1121" t="str">
            <v>=  10 % x B</v>
          </cell>
          <cell r="I1121" t="str">
            <v>C</v>
          </cell>
          <cell r="J1121">
            <v>650000</v>
          </cell>
          <cell r="K1121" t="str">
            <v>Rupiah</v>
          </cell>
        </row>
        <row r="1122">
          <cell r="C1122">
            <v>2</v>
          </cell>
          <cell r="D1122" t="str">
            <v xml:space="preserve"> Faktor Angsuran Modal</v>
          </cell>
          <cell r="F1122" t="str">
            <v>=</v>
          </cell>
          <cell r="G1122" t="str">
            <v>i x ( 1 + i ) ^ A'</v>
          </cell>
          <cell r="I1122" t="str">
            <v>D</v>
          </cell>
          <cell r="J1122">
            <v>0.65454545454545454</v>
          </cell>
          <cell r="K1122" t="str">
            <v>-</v>
          </cell>
        </row>
        <row r="1123">
          <cell r="G1123" t="str">
            <v>( 1 + i ) ^ A' - 1</v>
          </cell>
        </row>
        <row r="1124">
          <cell r="C1124">
            <v>3</v>
          </cell>
          <cell r="D1124" t="str">
            <v xml:space="preserve"> Biaya Pasti per Jam  :</v>
          </cell>
        </row>
        <row r="1125">
          <cell r="D1125" t="str">
            <v xml:space="preserve"> a. Biaya Pengembalian Modal</v>
          </cell>
          <cell r="F1125" t="str">
            <v>=</v>
          </cell>
          <cell r="G1125" t="str">
            <v>( B' - C ) x D</v>
          </cell>
          <cell r="I1125" t="str">
            <v>E</v>
          </cell>
          <cell r="J1125">
            <v>1914.5454545454545</v>
          </cell>
          <cell r="K1125" t="str">
            <v>Rupiah</v>
          </cell>
        </row>
        <row r="1126">
          <cell r="G1126" t="str">
            <v>W'</v>
          </cell>
        </row>
        <row r="1127">
          <cell r="D1127" t="str">
            <v xml:space="preserve"> b. Asuransi, dll</v>
          </cell>
          <cell r="E1127" t="str">
            <v>=</v>
          </cell>
          <cell r="G1127" t="str">
            <v>0,002 x B'</v>
          </cell>
          <cell r="I1127" t="str">
            <v>F</v>
          </cell>
          <cell r="J1127">
            <v>6.5</v>
          </cell>
          <cell r="K1127" t="str">
            <v>Rupiah</v>
          </cell>
        </row>
        <row r="1128">
          <cell r="G1128" t="str">
            <v>W'</v>
          </cell>
        </row>
        <row r="1129">
          <cell r="D1129" t="str">
            <v xml:space="preserve"> Biaya Pasti per Jam</v>
          </cell>
          <cell r="E1129" t="str">
            <v>=</v>
          </cell>
          <cell r="G1129" t="str">
            <v>( E + F )</v>
          </cell>
          <cell r="I1129" t="str">
            <v>G</v>
          </cell>
          <cell r="J1129">
            <v>1921.0454545454545</v>
          </cell>
          <cell r="K1129" t="str">
            <v>Rupiah</v>
          </cell>
        </row>
        <row r="1131">
          <cell r="C1131" t="str">
            <v>C.</v>
          </cell>
          <cell r="D1131" t="str">
            <v xml:space="preserve"> BIAYA OPERASI PER JAM KERJA</v>
          </cell>
        </row>
        <row r="1132">
          <cell r="C1132">
            <v>1</v>
          </cell>
          <cell r="D1132" t="str">
            <v xml:space="preserve"> Bahan Bakar </v>
          </cell>
          <cell r="E1132" t="str">
            <v>=</v>
          </cell>
          <cell r="F1132" t="str">
            <v>(0,125 - 0,175 Ltr/HP/Jam) x Pw x Ms</v>
          </cell>
          <cell r="I1132" t="str">
            <v>H</v>
          </cell>
          <cell r="J1132">
            <v>3225</v>
          </cell>
          <cell r="K1132" t="str">
            <v>Rupiah</v>
          </cell>
        </row>
        <row r="1133">
          <cell r="C1133">
            <v>2</v>
          </cell>
          <cell r="D1133" t="str">
            <v xml:space="preserve"> Pelumas</v>
          </cell>
          <cell r="E1133" t="str">
            <v>=</v>
          </cell>
          <cell r="F1133" t="str">
            <v>(0,01 - 0,02 Ltr/HP/Jam) x Pw x Mp</v>
          </cell>
          <cell r="I1133" t="str">
            <v>I</v>
          </cell>
          <cell r="J1133">
            <v>1800</v>
          </cell>
          <cell r="K1133" t="str">
            <v>Rupiah</v>
          </cell>
        </row>
        <row r="1134">
          <cell r="C1134">
            <v>3</v>
          </cell>
          <cell r="D1134" t="str">
            <v xml:space="preserve"> Perawatan dan Perbaikan</v>
          </cell>
          <cell r="F1134" t="str">
            <v>=</v>
          </cell>
          <cell r="G1134" t="str">
            <v xml:space="preserve"> ( 12,5 % - 17,5 % ) x B'</v>
          </cell>
          <cell r="I1134" t="str">
            <v>K</v>
          </cell>
          <cell r="J1134">
            <v>406.25</v>
          </cell>
          <cell r="K1134" t="str">
            <v>Rupiah</v>
          </cell>
        </row>
        <row r="1135">
          <cell r="G1135" t="str">
            <v xml:space="preserve"> W'</v>
          </cell>
        </row>
        <row r="1136">
          <cell r="C1136">
            <v>4</v>
          </cell>
          <cell r="D1136" t="str">
            <v xml:space="preserve"> Operator</v>
          </cell>
          <cell r="E1136" t="str">
            <v>=</v>
          </cell>
          <cell r="F1136" t="str">
            <v>( 1 Orang / Jam ) x U1</v>
          </cell>
          <cell r="I1136" t="str">
            <v>L</v>
          </cell>
          <cell r="J1136">
            <v>10750</v>
          </cell>
          <cell r="K1136" t="str">
            <v>Rupiah</v>
          </cell>
        </row>
        <row r="1137">
          <cell r="C1137">
            <v>5</v>
          </cell>
          <cell r="D1137" t="str">
            <v xml:space="preserve"> Pembantu Operator</v>
          </cell>
          <cell r="E1137" t="str">
            <v>=</v>
          </cell>
          <cell r="F1137" t="str">
            <v>( 1 Orang / Jam ) x U2</v>
          </cell>
          <cell r="I1137" t="str">
            <v>M</v>
          </cell>
          <cell r="J1137">
            <v>4500</v>
          </cell>
          <cell r="K1137" t="str">
            <v>Rupiah</v>
          </cell>
        </row>
        <row r="1138">
          <cell r="D1138" t="str">
            <v xml:space="preserve"> Biaya Operasi Per Jam </v>
          </cell>
          <cell r="F1138" t="str">
            <v>=</v>
          </cell>
          <cell r="G1138" t="str">
            <v xml:space="preserve"> ( H + I + K + L + M )</v>
          </cell>
          <cell r="I1138" t="str">
            <v>P</v>
          </cell>
          <cell r="J1138">
            <v>20681.25</v>
          </cell>
          <cell r="K1138" t="str">
            <v>Rupiah</v>
          </cell>
        </row>
        <row r="1140">
          <cell r="C1140" t="str">
            <v>D.</v>
          </cell>
          <cell r="D1140" t="str">
            <v xml:space="preserve"> TOTAL BIAYA SEWA ALAT / JAM   =   ( G + P )</v>
          </cell>
          <cell r="I1140" t="str">
            <v>S</v>
          </cell>
          <cell r="J1140">
            <v>22602.295454545456</v>
          </cell>
          <cell r="K1140" t="str">
            <v>Rupiah</v>
          </cell>
        </row>
        <row r="1142">
          <cell r="C1142" t="str">
            <v>E.</v>
          </cell>
          <cell r="D1142" t="str">
            <v xml:space="preserve"> LAIN - LAIN</v>
          </cell>
        </row>
        <row r="1143">
          <cell r="C1143">
            <v>1</v>
          </cell>
          <cell r="D1143" t="str">
            <v xml:space="preserve"> Tingkat Suku Bunga</v>
          </cell>
          <cell r="I1143" t="str">
            <v>i</v>
          </cell>
          <cell r="J1143">
            <v>20</v>
          </cell>
          <cell r="K1143" t="str">
            <v>% / Tahun</v>
          </cell>
        </row>
        <row r="1144">
          <cell r="C1144">
            <v>2</v>
          </cell>
          <cell r="D1144" t="str">
            <v xml:space="preserve"> Upah Operator / Sopir</v>
          </cell>
          <cell r="I1144" t="str">
            <v>U1</v>
          </cell>
          <cell r="J1144">
            <v>10750</v>
          </cell>
          <cell r="K1144" t="str">
            <v>Rp. / Jam</v>
          </cell>
        </row>
        <row r="1145">
          <cell r="C1145">
            <v>3</v>
          </cell>
          <cell r="D1145" t="str">
            <v xml:space="preserve"> Upah Pembantu Operator / Pembantu Sopir</v>
          </cell>
          <cell r="I1145" t="str">
            <v>U2</v>
          </cell>
          <cell r="J1145">
            <v>4500</v>
          </cell>
          <cell r="K1145" t="str">
            <v>Rp. / Jam</v>
          </cell>
        </row>
        <row r="1146">
          <cell r="C1146">
            <v>4</v>
          </cell>
          <cell r="D1146" t="str">
            <v xml:space="preserve"> Bahan Bakar Bensin</v>
          </cell>
          <cell r="I1146" t="str">
            <v>Mb</v>
          </cell>
          <cell r="J1146">
            <v>4500</v>
          </cell>
          <cell r="K1146" t="str">
            <v>Liter</v>
          </cell>
        </row>
        <row r="1147">
          <cell r="C1147">
            <v>5</v>
          </cell>
          <cell r="D1147" t="str">
            <v xml:space="preserve"> Bahan Bakar Solar</v>
          </cell>
          <cell r="I1147" t="str">
            <v>Ms</v>
          </cell>
          <cell r="J1147">
            <v>4300</v>
          </cell>
          <cell r="K1147" t="str">
            <v>Liter</v>
          </cell>
        </row>
        <row r="1148">
          <cell r="C1148">
            <v>6</v>
          </cell>
          <cell r="D1148" t="str">
            <v xml:space="preserve"> Minyak Pelumas</v>
          </cell>
          <cell r="I1148" t="str">
            <v>Mp</v>
          </cell>
          <cell r="J1148">
            <v>30000</v>
          </cell>
          <cell r="K1148" t="str">
            <v>Liter</v>
          </cell>
        </row>
        <row r="1149">
          <cell r="C1149">
            <v>7</v>
          </cell>
          <cell r="D1149" t="str">
            <v xml:space="preserve"> PPN diperhitungkan pada lembar Rekapitulasi Biaya Pekerjaan.</v>
          </cell>
        </row>
        <row r="1153">
          <cell r="C1153" t="str">
            <v>JENIS ALAT</v>
          </cell>
          <cell r="E1153" t="str">
            <v>:</v>
          </cell>
          <cell r="F1153" t="str">
            <v>WATER TANKER 3000-4500 L</v>
          </cell>
        </row>
        <row r="1154">
          <cell r="C1154" t="str">
            <v>PERUSAHAAN</v>
          </cell>
          <cell r="E1154" t="str">
            <v>:</v>
          </cell>
          <cell r="F1154" t="str">
            <v>NAD / ACEH TENGAH</v>
          </cell>
        </row>
        <row r="1156">
          <cell r="C1156" t="str">
            <v>No.</v>
          </cell>
          <cell r="D1156" t="str">
            <v>URAIAN</v>
          </cell>
          <cell r="I1156" t="str">
            <v>KODE</v>
          </cell>
          <cell r="J1156" t="str">
            <v>KOEF.</v>
          </cell>
          <cell r="K1156" t="str">
            <v>SATUAN</v>
          </cell>
          <cell r="L1156" t="str">
            <v>KET.</v>
          </cell>
        </row>
        <row r="1158">
          <cell r="C1158" t="str">
            <v>A.</v>
          </cell>
          <cell r="D1158" t="str">
            <v xml:space="preserve"> URAIAN PERALATAN</v>
          </cell>
        </row>
        <row r="1159">
          <cell r="C1159">
            <v>1</v>
          </cell>
          <cell r="D1159" t="str">
            <v xml:space="preserve"> Jenis Peralatan</v>
          </cell>
          <cell r="I1159" t="str">
            <v>WATER TANKER 3000-4500 L</v>
          </cell>
          <cell r="L1159" t="str">
            <v>E 23</v>
          </cell>
        </row>
        <row r="1160">
          <cell r="C1160">
            <v>2</v>
          </cell>
          <cell r="D1160" t="str">
            <v xml:space="preserve"> Tenaga</v>
          </cell>
          <cell r="I1160" t="str">
            <v>Pw</v>
          </cell>
          <cell r="J1160">
            <v>100</v>
          </cell>
          <cell r="K1160" t="str">
            <v>HP</v>
          </cell>
        </row>
        <row r="1161">
          <cell r="C1161">
            <v>3</v>
          </cell>
          <cell r="D1161" t="str">
            <v xml:space="preserve"> Kapasitas</v>
          </cell>
          <cell r="I1161" t="str">
            <v>Cp</v>
          </cell>
          <cell r="J1161">
            <v>4000</v>
          </cell>
          <cell r="K1161" t="str">
            <v>Liter</v>
          </cell>
        </row>
        <row r="1162">
          <cell r="C1162">
            <v>4</v>
          </cell>
          <cell r="D1162" t="str">
            <v xml:space="preserve"> Alat Baru</v>
          </cell>
          <cell r="E1162" t="str">
            <v>:</v>
          </cell>
          <cell r="F1162" t="str">
            <v>a.</v>
          </cell>
          <cell r="G1162" t="str">
            <v>Umur Ekonomis</v>
          </cell>
          <cell r="I1162" t="str">
            <v>A</v>
          </cell>
          <cell r="J1162">
            <v>5</v>
          </cell>
          <cell r="K1162" t="str">
            <v>Tahun</v>
          </cell>
        </row>
        <row r="1163">
          <cell r="F1163" t="str">
            <v>b.</v>
          </cell>
          <cell r="G1163" t="str">
            <v>Jam Kerja Dalam  1 Tahun</v>
          </cell>
          <cell r="I1163" t="str">
            <v>W</v>
          </cell>
          <cell r="J1163">
            <v>2000</v>
          </cell>
          <cell r="K1163" t="str">
            <v>Jam</v>
          </cell>
        </row>
        <row r="1164">
          <cell r="F1164" t="str">
            <v>c.</v>
          </cell>
          <cell r="G1164" t="str">
            <v>Harga Alat</v>
          </cell>
          <cell r="I1164" t="str">
            <v>B</v>
          </cell>
          <cell r="J1164">
            <v>145200000</v>
          </cell>
          <cell r="K1164" t="str">
            <v>Rupiah</v>
          </cell>
        </row>
        <row r="1165">
          <cell r="C1165">
            <v>5</v>
          </cell>
          <cell r="D1165" t="str">
            <v xml:space="preserve"> Alat Yang Dipakai</v>
          </cell>
          <cell r="E1165" t="str">
            <v>:</v>
          </cell>
          <cell r="F1165" t="str">
            <v>a.</v>
          </cell>
          <cell r="G1165" t="str">
            <v>Umur Ekonomis</v>
          </cell>
          <cell r="I1165" t="str">
            <v>A'</v>
          </cell>
          <cell r="J1165">
            <v>5</v>
          </cell>
          <cell r="K1165" t="str">
            <v>Tahun</v>
          </cell>
          <cell r="L1165" t="str">
            <v>Alat Baru</v>
          </cell>
        </row>
        <row r="1166">
          <cell r="F1166" t="str">
            <v>b.</v>
          </cell>
          <cell r="G1166" t="str">
            <v>Jam Kerja Dalam  1 Tahun</v>
          </cell>
          <cell r="I1166" t="str">
            <v>W'</v>
          </cell>
          <cell r="J1166">
            <v>2000</v>
          </cell>
          <cell r="K1166" t="str">
            <v>Jam</v>
          </cell>
          <cell r="L1166" t="str">
            <v>Alat Baru</v>
          </cell>
        </row>
        <row r="1167">
          <cell r="F1167" t="str">
            <v>c.</v>
          </cell>
          <cell r="G1167" t="str">
            <v>Harga Alat  ( * )</v>
          </cell>
          <cell r="I1167" t="str">
            <v>B'</v>
          </cell>
          <cell r="J1167">
            <v>145200000</v>
          </cell>
          <cell r="K1167" t="str">
            <v>Rupiah</v>
          </cell>
          <cell r="L1167" t="str">
            <v>Alat Baru</v>
          </cell>
        </row>
        <row r="1169">
          <cell r="C1169" t="str">
            <v>B.</v>
          </cell>
          <cell r="D1169" t="str">
            <v xml:space="preserve"> BIAYA PASTI PER JAM KERJA</v>
          </cell>
        </row>
        <row r="1170">
          <cell r="C1170">
            <v>1</v>
          </cell>
          <cell r="D1170" t="str">
            <v xml:space="preserve"> Nilai Sisa Alat</v>
          </cell>
          <cell r="E1170" t="str">
            <v>=  10 % x B</v>
          </cell>
          <cell r="I1170" t="str">
            <v>C</v>
          </cell>
          <cell r="J1170">
            <v>14520000</v>
          </cell>
          <cell r="K1170" t="str">
            <v>Rupiah</v>
          </cell>
        </row>
        <row r="1171">
          <cell r="C1171">
            <v>2</v>
          </cell>
          <cell r="D1171" t="str">
            <v xml:space="preserve"> Faktor Angsuran Modal</v>
          </cell>
          <cell r="F1171" t="str">
            <v>=</v>
          </cell>
          <cell r="G1171" t="str">
            <v>i x ( 1 + i ) ^ A'</v>
          </cell>
          <cell r="I1171" t="str">
            <v>D</v>
          </cell>
          <cell r="J1171">
            <v>0.33437970328961514</v>
          </cell>
          <cell r="K1171" t="str">
            <v>-</v>
          </cell>
        </row>
        <row r="1172">
          <cell r="G1172" t="str">
            <v>( 1 + i ) ^ A' - 1</v>
          </cell>
        </row>
        <row r="1173">
          <cell r="C1173">
            <v>3</v>
          </cell>
          <cell r="D1173" t="str">
            <v xml:space="preserve"> Biaya Pasti per Jam  :</v>
          </cell>
        </row>
        <row r="1174">
          <cell r="D1174" t="str">
            <v xml:space="preserve"> a. Biaya Pengembalian Modal</v>
          </cell>
          <cell r="F1174" t="str">
            <v>=</v>
          </cell>
          <cell r="G1174" t="str">
            <v>( B' - C ) x D</v>
          </cell>
          <cell r="I1174" t="str">
            <v>E</v>
          </cell>
          <cell r="J1174">
            <v>21848.369812943456</v>
          </cell>
          <cell r="K1174" t="str">
            <v>Rupiah</v>
          </cell>
        </row>
        <row r="1175">
          <cell r="G1175" t="str">
            <v>W'</v>
          </cell>
        </row>
        <row r="1176">
          <cell r="D1176" t="str">
            <v xml:space="preserve"> b. Asuransi, dll</v>
          </cell>
          <cell r="E1176" t="str">
            <v>=</v>
          </cell>
          <cell r="G1176" t="str">
            <v>0,002 x B'</v>
          </cell>
          <cell r="I1176" t="str">
            <v>F</v>
          </cell>
          <cell r="J1176">
            <v>145.19999999999999</v>
          </cell>
          <cell r="K1176" t="str">
            <v>Rupiah</v>
          </cell>
        </row>
        <row r="1177">
          <cell r="G1177" t="str">
            <v>W'</v>
          </cell>
        </row>
        <row r="1178">
          <cell r="D1178" t="str">
            <v xml:space="preserve"> Biaya Pasti per Jam</v>
          </cell>
          <cell r="E1178" t="str">
            <v>=</v>
          </cell>
          <cell r="G1178" t="str">
            <v>( E + F )</v>
          </cell>
          <cell r="I1178" t="str">
            <v>G</v>
          </cell>
          <cell r="J1178">
            <v>21993.569812943457</v>
          </cell>
          <cell r="K1178" t="str">
            <v>Rupiah</v>
          </cell>
        </row>
        <row r="1180">
          <cell r="C1180" t="str">
            <v>C.</v>
          </cell>
          <cell r="D1180" t="str">
            <v xml:space="preserve"> BIAYA OPERASI PER JAM KERJA</v>
          </cell>
        </row>
        <row r="1181">
          <cell r="C1181">
            <v>1</v>
          </cell>
          <cell r="D1181" t="str">
            <v xml:space="preserve"> Bahan Bakar </v>
          </cell>
          <cell r="E1181" t="str">
            <v>=</v>
          </cell>
          <cell r="F1181" t="str">
            <v>(0,125 - 0,175 Ltr/HP/Jam) x Pw x Ms</v>
          </cell>
          <cell r="I1181" t="str">
            <v>H</v>
          </cell>
          <cell r="J1181">
            <v>53750</v>
          </cell>
          <cell r="K1181" t="str">
            <v>Rupiah</v>
          </cell>
        </row>
        <row r="1182">
          <cell r="C1182">
            <v>2</v>
          </cell>
          <cell r="D1182" t="str">
            <v xml:space="preserve"> Pelumas</v>
          </cell>
          <cell r="E1182" t="str">
            <v>=</v>
          </cell>
          <cell r="F1182" t="str">
            <v>(0,01 - 0,02 Ltr/HP/Jam) x Pw x Mp</v>
          </cell>
          <cell r="I1182" t="str">
            <v>I</v>
          </cell>
          <cell r="J1182">
            <v>30000</v>
          </cell>
          <cell r="K1182" t="str">
            <v>Rupiah</v>
          </cell>
        </row>
        <row r="1183">
          <cell r="C1183">
            <v>3</v>
          </cell>
          <cell r="D1183" t="str">
            <v xml:space="preserve"> Perawatan dan Perbaikan</v>
          </cell>
          <cell r="F1183" t="str">
            <v>=</v>
          </cell>
          <cell r="G1183" t="str">
            <v xml:space="preserve"> ( 12,5 % - 17,5 % ) x B'</v>
          </cell>
          <cell r="I1183" t="str">
            <v>K</v>
          </cell>
          <cell r="J1183">
            <v>9075</v>
          </cell>
          <cell r="K1183" t="str">
            <v>Rupiah</v>
          </cell>
        </row>
        <row r="1184">
          <cell r="G1184" t="str">
            <v xml:space="preserve"> W'</v>
          </cell>
        </row>
        <row r="1185">
          <cell r="C1185">
            <v>4</v>
          </cell>
          <cell r="D1185" t="str">
            <v xml:space="preserve"> Operator</v>
          </cell>
          <cell r="E1185" t="str">
            <v>=</v>
          </cell>
          <cell r="F1185" t="str">
            <v>( 1 Orang / Jam ) x U1</v>
          </cell>
          <cell r="I1185" t="str">
            <v>L</v>
          </cell>
          <cell r="J1185">
            <v>10750</v>
          </cell>
          <cell r="K1185" t="str">
            <v>Rupiah</v>
          </cell>
        </row>
        <row r="1186">
          <cell r="C1186">
            <v>5</v>
          </cell>
          <cell r="D1186" t="str">
            <v xml:space="preserve"> Pembantu Operator</v>
          </cell>
          <cell r="E1186" t="str">
            <v>=</v>
          </cell>
          <cell r="F1186" t="str">
            <v>( 1 Orang / Jam ) x U2</v>
          </cell>
          <cell r="I1186" t="str">
            <v>M</v>
          </cell>
          <cell r="J1186">
            <v>4500</v>
          </cell>
          <cell r="K1186" t="str">
            <v>Rupiah</v>
          </cell>
        </row>
        <row r="1187">
          <cell r="D1187" t="str">
            <v xml:space="preserve"> Biaya Operasi Per Jam </v>
          </cell>
          <cell r="F1187" t="str">
            <v>=</v>
          </cell>
          <cell r="G1187" t="str">
            <v xml:space="preserve"> ( H + I + K + L + M )</v>
          </cell>
          <cell r="I1187" t="str">
            <v>P</v>
          </cell>
          <cell r="J1187">
            <v>108075</v>
          </cell>
          <cell r="K1187" t="str">
            <v>Rupiah</v>
          </cell>
        </row>
        <row r="1189">
          <cell r="C1189" t="str">
            <v>D.</v>
          </cell>
          <cell r="D1189" t="str">
            <v xml:space="preserve"> TOTAL BIAYA SEWA ALAT / JAM   =   ( G + P )</v>
          </cell>
          <cell r="I1189" t="str">
            <v>S</v>
          </cell>
          <cell r="J1189">
            <v>130068.56981294346</v>
          </cell>
          <cell r="K1189" t="str">
            <v>Rupiah</v>
          </cell>
        </row>
        <row r="1191">
          <cell r="C1191" t="str">
            <v>E.</v>
          </cell>
          <cell r="D1191" t="str">
            <v xml:space="preserve"> LAIN - LAIN</v>
          </cell>
        </row>
        <row r="1192">
          <cell r="C1192">
            <v>1</v>
          </cell>
          <cell r="D1192" t="str">
            <v xml:space="preserve"> Tingkat Suku Bunga</v>
          </cell>
          <cell r="I1192" t="str">
            <v>i</v>
          </cell>
          <cell r="J1192">
            <v>20</v>
          </cell>
          <cell r="K1192" t="str">
            <v>% / Tahun</v>
          </cell>
        </row>
        <row r="1193">
          <cell r="C1193">
            <v>2</v>
          </cell>
          <cell r="D1193" t="str">
            <v xml:space="preserve"> Upah Operator / Sopir</v>
          </cell>
          <cell r="I1193" t="str">
            <v>U1</v>
          </cell>
          <cell r="J1193">
            <v>10750</v>
          </cell>
          <cell r="K1193" t="str">
            <v>Rp. / Jam</v>
          </cell>
        </row>
        <row r="1194">
          <cell r="C1194">
            <v>3</v>
          </cell>
          <cell r="D1194" t="str">
            <v xml:space="preserve"> Upah Pembantu Operator / Pembantu Sopir</v>
          </cell>
          <cell r="I1194" t="str">
            <v>U2</v>
          </cell>
          <cell r="J1194">
            <v>4500</v>
          </cell>
          <cell r="K1194" t="str">
            <v>Rp. / Jam</v>
          </cell>
        </row>
        <row r="1195">
          <cell r="C1195">
            <v>4</v>
          </cell>
          <cell r="D1195" t="str">
            <v xml:space="preserve"> Bahan Bakar Bensin</v>
          </cell>
          <cell r="I1195" t="str">
            <v>Mb</v>
          </cell>
          <cell r="J1195">
            <v>4500</v>
          </cell>
          <cell r="K1195" t="str">
            <v>Liter</v>
          </cell>
        </row>
        <row r="1196">
          <cell r="C1196">
            <v>5</v>
          </cell>
          <cell r="D1196" t="str">
            <v xml:space="preserve"> Bahan Bakar Solar</v>
          </cell>
          <cell r="I1196" t="str">
            <v>Ms</v>
          </cell>
          <cell r="J1196">
            <v>4300</v>
          </cell>
          <cell r="K1196" t="str">
            <v>Liter</v>
          </cell>
        </row>
        <row r="1197">
          <cell r="C1197">
            <v>6</v>
          </cell>
          <cell r="D1197" t="str">
            <v xml:space="preserve"> Minyak Pelumas</v>
          </cell>
          <cell r="I1197" t="str">
            <v>Mp</v>
          </cell>
          <cell r="J1197">
            <v>30000</v>
          </cell>
          <cell r="K1197" t="str">
            <v>Liter</v>
          </cell>
        </row>
        <row r="1198">
          <cell r="C1198">
            <v>7</v>
          </cell>
          <cell r="D1198" t="str">
            <v xml:space="preserve"> PPN diperhitungkan pada lembar Rekapitulasi Biaya Pekerjaan.</v>
          </cell>
        </row>
        <row r="1202">
          <cell r="C1202" t="str">
            <v>JENIS ALAT</v>
          </cell>
          <cell r="E1202" t="str">
            <v>:</v>
          </cell>
          <cell r="F1202" t="str">
            <v>PEDESTRIAN ROLLER</v>
          </cell>
        </row>
        <row r="1203">
          <cell r="C1203" t="str">
            <v>PERUSAHAAN</v>
          </cell>
          <cell r="E1203" t="str">
            <v>:</v>
          </cell>
          <cell r="F1203" t="str">
            <v>NAD / ACEH TENGAH</v>
          </cell>
        </row>
        <row r="1205">
          <cell r="C1205" t="str">
            <v>No.</v>
          </cell>
          <cell r="D1205" t="str">
            <v>URAIAN</v>
          </cell>
          <cell r="I1205" t="str">
            <v>KODE</v>
          </cell>
          <cell r="J1205" t="str">
            <v>KOEF.</v>
          </cell>
          <cell r="K1205" t="str">
            <v>SATUAN</v>
          </cell>
          <cell r="L1205" t="str">
            <v>KET.</v>
          </cell>
        </row>
        <row r="1207">
          <cell r="C1207" t="str">
            <v>A.</v>
          </cell>
          <cell r="D1207" t="str">
            <v xml:space="preserve"> URAIAN PERALATAN</v>
          </cell>
        </row>
        <row r="1208">
          <cell r="C1208">
            <v>1</v>
          </cell>
          <cell r="D1208" t="str">
            <v xml:space="preserve"> Jenis Peralatan</v>
          </cell>
          <cell r="I1208" t="str">
            <v>PEDESTRIAN ROLLER</v>
          </cell>
          <cell r="L1208" t="str">
            <v>E 24</v>
          </cell>
        </row>
        <row r="1209">
          <cell r="C1209">
            <v>2</v>
          </cell>
          <cell r="D1209" t="str">
            <v xml:space="preserve"> Tenaga</v>
          </cell>
          <cell r="I1209" t="str">
            <v>Pw</v>
          </cell>
          <cell r="J1209">
            <v>11</v>
          </cell>
          <cell r="K1209" t="str">
            <v>HP</v>
          </cell>
        </row>
        <row r="1210">
          <cell r="C1210">
            <v>3</v>
          </cell>
          <cell r="D1210" t="str">
            <v xml:space="preserve"> Kapasitas</v>
          </cell>
          <cell r="I1210" t="str">
            <v>Cp</v>
          </cell>
          <cell r="J1210">
            <v>0.98</v>
          </cell>
          <cell r="K1210" t="str">
            <v>Ton</v>
          </cell>
        </row>
        <row r="1211">
          <cell r="C1211">
            <v>4</v>
          </cell>
          <cell r="D1211" t="str">
            <v xml:space="preserve"> Alat Baru</v>
          </cell>
          <cell r="E1211" t="str">
            <v>:</v>
          </cell>
          <cell r="F1211" t="str">
            <v>a.</v>
          </cell>
          <cell r="G1211" t="str">
            <v>Umur Ekonomis</v>
          </cell>
          <cell r="I1211" t="str">
            <v>A</v>
          </cell>
          <cell r="J1211">
            <v>4</v>
          </cell>
          <cell r="K1211" t="str">
            <v>Tahun</v>
          </cell>
        </row>
        <row r="1212">
          <cell r="F1212" t="str">
            <v>b.</v>
          </cell>
          <cell r="G1212" t="str">
            <v>Jam Kerja Dalam  1 Tahun</v>
          </cell>
          <cell r="I1212" t="str">
            <v>W</v>
          </cell>
          <cell r="J1212">
            <v>2000</v>
          </cell>
          <cell r="K1212" t="str">
            <v>Jam</v>
          </cell>
        </row>
        <row r="1213">
          <cell r="F1213" t="str">
            <v>c.</v>
          </cell>
          <cell r="G1213" t="str">
            <v>Harga Alat</v>
          </cell>
          <cell r="I1213" t="str">
            <v>B</v>
          </cell>
          <cell r="J1213">
            <v>75000000</v>
          </cell>
          <cell r="K1213" t="str">
            <v>Rupiah</v>
          </cell>
        </row>
        <row r="1214">
          <cell r="C1214">
            <v>5</v>
          </cell>
          <cell r="D1214" t="str">
            <v xml:space="preserve"> Alat Yang Dipakai</v>
          </cell>
          <cell r="E1214" t="str">
            <v>:</v>
          </cell>
          <cell r="F1214" t="str">
            <v>a.</v>
          </cell>
          <cell r="G1214" t="str">
            <v>Umur Ekonomis</v>
          </cell>
          <cell r="I1214" t="str">
            <v>A'</v>
          </cell>
          <cell r="J1214">
            <v>4</v>
          </cell>
          <cell r="K1214" t="str">
            <v>Tahun</v>
          </cell>
          <cell r="L1214" t="str">
            <v>Alat Baru</v>
          </cell>
        </row>
        <row r="1215">
          <cell r="F1215" t="str">
            <v>b.</v>
          </cell>
          <cell r="G1215" t="str">
            <v>Jam Kerja Dalam  1 Tahun</v>
          </cell>
          <cell r="I1215" t="str">
            <v>W'</v>
          </cell>
          <cell r="J1215">
            <v>2000</v>
          </cell>
          <cell r="K1215" t="str">
            <v>Jam</v>
          </cell>
          <cell r="L1215" t="str">
            <v>Alat Baru</v>
          </cell>
        </row>
        <row r="1216">
          <cell r="F1216" t="str">
            <v>c.</v>
          </cell>
          <cell r="G1216" t="str">
            <v>Harga Alat  ( * )</v>
          </cell>
          <cell r="I1216" t="str">
            <v>B'</v>
          </cell>
          <cell r="J1216">
            <v>75000000</v>
          </cell>
          <cell r="K1216" t="str">
            <v>Rupiah</v>
          </cell>
          <cell r="L1216" t="str">
            <v>Alat Baru</v>
          </cell>
        </row>
        <row r="1218">
          <cell r="C1218" t="str">
            <v>B.</v>
          </cell>
          <cell r="D1218" t="str">
            <v xml:space="preserve"> BIAYA PASTI PER JAM KERJA</v>
          </cell>
        </row>
        <row r="1219">
          <cell r="C1219">
            <v>1</v>
          </cell>
          <cell r="D1219" t="str">
            <v xml:space="preserve"> Nilai Sisa Alat</v>
          </cell>
          <cell r="E1219" t="str">
            <v>=  10 % x B</v>
          </cell>
          <cell r="I1219" t="str">
            <v>C</v>
          </cell>
          <cell r="J1219">
            <v>7500000</v>
          </cell>
          <cell r="K1219" t="str">
            <v>Rupiah</v>
          </cell>
        </row>
        <row r="1221">
          <cell r="C1221">
            <v>2</v>
          </cell>
          <cell r="D1221" t="str">
            <v xml:space="preserve"> Faktor Angsuran Modal</v>
          </cell>
          <cell r="F1221" t="str">
            <v>=</v>
          </cell>
          <cell r="G1221" t="str">
            <v>i x ( 1 + i ) ^ A'</v>
          </cell>
          <cell r="I1221" t="str">
            <v>D</v>
          </cell>
          <cell r="J1221">
            <v>0.38628912071535026</v>
          </cell>
          <cell r="K1221" t="str">
            <v>-</v>
          </cell>
        </row>
        <row r="1222">
          <cell r="G1222" t="str">
            <v>( 1 + i ) ^ A' - 1</v>
          </cell>
        </row>
        <row r="1223">
          <cell r="C1223">
            <v>3</v>
          </cell>
          <cell r="D1223" t="str">
            <v xml:space="preserve"> Biaya Pasti per Jam  :</v>
          </cell>
        </row>
        <row r="1224">
          <cell r="D1224" t="str">
            <v xml:space="preserve"> a. Biaya Pengembalian Modal</v>
          </cell>
          <cell r="F1224" t="str">
            <v>=</v>
          </cell>
          <cell r="G1224" t="str">
            <v>( B' - C ) x D</v>
          </cell>
          <cell r="I1224" t="str">
            <v>E</v>
          </cell>
          <cell r="J1224">
            <v>13037.257824143071</v>
          </cell>
          <cell r="K1224" t="str">
            <v>Rupiah</v>
          </cell>
        </row>
        <row r="1225">
          <cell r="G1225" t="str">
            <v>W'</v>
          </cell>
        </row>
        <row r="1226">
          <cell r="D1226" t="str">
            <v xml:space="preserve"> b. Asuransi, dll</v>
          </cell>
          <cell r="E1226" t="str">
            <v>=</v>
          </cell>
          <cell r="G1226" t="str">
            <v>0,002 x B'</v>
          </cell>
          <cell r="I1226" t="str">
            <v>F</v>
          </cell>
          <cell r="J1226">
            <v>75</v>
          </cell>
          <cell r="K1226" t="str">
            <v>Rupiah</v>
          </cell>
        </row>
        <row r="1227">
          <cell r="G1227" t="str">
            <v>W'</v>
          </cell>
        </row>
        <row r="1228">
          <cell r="D1228" t="str">
            <v xml:space="preserve"> Biaya Pasti per Jam</v>
          </cell>
          <cell r="E1228" t="str">
            <v>=</v>
          </cell>
          <cell r="G1228" t="str">
            <v>( E + F )</v>
          </cell>
          <cell r="I1228" t="str">
            <v>G</v>
          </cell>
          <cell r="J1228">
            <v>13112.257824143071</v>
          </cell>
          <cell r="K1228" t="str">
            <v>Rupiah</v>
          </cell>
        </row>
        <row r="1230">
          <cell r="C1230" t="str">
            <v>C.</v>
          </cell>
          <cell r="D1230" t="str">
            <v xml:space="preserve"> BIAYA OPERASI PER JAM KERJA</v>
          </cell>
        </row>
        <row r="1231">
          <cell r="C1231">
            <v>1</v>
          </cell>
          <cell r="D1231" t="str">
            <v xml:space="preserve"> Bahan Bakar </v>
          </cell>
          <cell r="E1231" t="str">
            <v>=</v>
          </cell>
          <cell r="F1231" t="str">
            <v>(0,125 - 0,175 Ltr/HP/Jam) x Pw x Ms</v>
          </cell>
          <cell r="I1231" t="str">
            <v>H</v>
          </cell>
          <cell r="J1231">
            <v>5912.5</v>
          </cell>
          <cell r="K1231" t="str">
            <v>Rupiah</v>
          </cell>
        </row>
        <row r="1232">
          <cell r="C1232">
            <v>2</v>
          </cell>
          <cell r="D1232" t="str">
            <v xml:space="preserve"> Pelumas</v>
          </cell>
          <cell r="E1232" t="str">
            <v>=</v>
          </cell>
          <cell r="F1232" t="str">
            <v>(0,01 - 0,02 Ltr/HP/Jam) x Pw x Mp</v>
          </cell>
          <cell r="I1232" t="str">
            <v>I</v>
          </cell>
          <cell r="J1232">
            <v>3300</v>
          </cell>
          <cell r="K1232" t="str">
            <v>Rupiah</v>
          </cell>
        </row>
        <row r="1233">
          <cell r="C1233">
            <v>3</v>
          </cell>
          <cell r="D1233" t="str">
            <v xml:space="preserve"> Perawatan dan Perbaikan</v>
          </cell>
          <cell r="F1233" t="str">
            <v>=</v>
          </cell>
          <cell r="G1233" t="str">
            <v xml:space="preserve"> ( 12,5 % - 17,5 % ) x B'</v>
          </cell>
          <cell r="I1233" t="str">
            <v>K</v>
          </cell>
          <cell r="J1233">
            <v>4687.5</v>
          </cell>
          <cell r="K1233" t="str">
            <v>Rupiah</v>
          </cell>
        </row>
        <row r="1234">
          <cell r="G1234" t="str">
            <v xml:space="preserve"> W'</v>
          </cell>
        </row>
        <row r="1235">
          <cell r="C1235">
            <v>4</v>
          </cell>
          <cell r="D1235" t="str">
            <v xml:space="preserve"> Operator</v>
          </cell>
          <cell r="E1235" t="str">
            <v>=</v>
          </cell>
          <cell r="F1235" t="str">
            <v>( 1 Orang / Jam ) x U1</v>
          </cell>
          <cell r="I1235" t="str">
            <v>L</v>
          </cell>
          <cell r="J1235">
            <v>10750</v>
          </cell>
          <cell r="K1235" t="str">
            <v>Rupiah</v>
          </cell>
        </row>
        <row r="1236">
          <cell r="C1236">
            <v>5</v>
          </cell>
          <cell r="D1236" t="str">
            <v xml:space="preserve"> Pembantu Operator</v>
          </cell>
          <cell r="E1236" t="str">
            <v>=</v>
          </cell>
          <cell r="F1236" t="str">
            <v>( 1 Orang / Jam ) x U2</v>
          </cell>
          <cell r="I1236" t="str">
            <v>M</v>
          </cell>
          <cell r="J1236">
            <v>4500</v>
          </cell>
          <cell r="K1236" t="str">
            <v>Rupiah</v>
          </cell>
        </row>
        <row r="1237">
          <cell r="D1237" t="str">
            <v xml:space="preserve"> Biaya Operasi Per Jam </v>
          </cell>
          <cell r="F1237" t="str">
            <v>=</v>
          </cell>
          <cell r="G1237" t="str">
            <v xml:space="preserve"> ( H + I + K + L + M )</v>
          </cell>
          <cell r="I1237" t="str">
            <v>P</v>
          </cell>
          <cell r="J1237">
            <v>29150</v>
          </cell>
          <cell r="K1237" t="str">
            <v>Rupiah</v>
          </cell>
        </row>
        <row r="1239">
          <cell r="C1239" t="str">
            <v>D.</v>
          </cell>
          <cell r="D1239" t="str">
            <v xml:space="preserve"> TOTAL BIAYA SEWA ALAT / JAM   =   ( G + P )</v>
          </cell>
          <cell r="I1239" t="str">
            <v>S</v>
          </cell>
          <cell r="J1239">
            <v>42262.257824143075</v>
          </cell>
          <cell r="K1239" t="str">
            <v>Rupiah</v>
          </cell>
        </row>
        <row r="1241">
          <cell r="C1241" t="str">
            <v>E.</v>
          </cell>
          <cell r="D1241" t="str">
            <v xml:space="preserve"> LAIN - LAIN</v>
          </cell>
        </row>
        <row r="1242">
          <cell r="C1242">
            <v>1</v>
          </cell>
          <cell r="D1242" t="str">
            <v xml:space="preserve"> Tingkat Suku Bunga</v>
          </cell>
          <cell r="I1242" t="str">
            <v>i</v>
          </cell>
          <cell r="J1242">
            <v>20</v>
          </cell>
          <cell r="K1242" t="str">
            <v>% / Tahun</v>
          </cell>
        </row>
        <row r="1243">
          <cell r="C1243">
            <v>2</v>
          </cell>
          <cell r="D1243" t="str">
            <v xml:space="preserve"> Upah Operator / Sopir</v>
          </cell>
          <cell r="I1243" t="str">
            <v>U1</v>
          </cell>
          <cell r="J1243">
            <v>10750</v>
          </cell>
          <cell r="K1243" t="str">
            <v>Rp. / Jam</v>
          </cell>
        </row>
        <row r="1244">
          <cell r="C1244">
            <v>3</v>
          </cell>
          <cell r="D1244" t="str">
            <v xml:space="preserve"> Upah Pembantu Operator / Pembantu Sopir</v>
          </cell>
          <cell r="I1244" t="str">
            <v>U2</v>
          </cell>
          <cell r="J1244">
            <v>4500</v>
          </cell>
          <cell r="K1244" t="str">
            <v>Rp. / Jam</v>
          </cell>
        </row>
        <row r="1245">
          <cell r="C1245">
            <v>4</v>
          </cell>
          <cell r="D1245" t="str">
            <v xml:space="preserve"> Bahan Bakar Bensin</v>
          </cell>
          <cell r="I1245" t="str">
            <v>Mb</v>
          </cell>
          <cell r="J1245">
            <v>4500</v>
          </cell>
          <cell r="K1245" t="str">
            <v>Liter</v>
          </cell>
        </row>
        <row r="1246">
          <cell r="C1246">
            <v>5</v>
          </cell>
          <cell r="D1246" t="str">
            <v xml:space="preserve"> Bahan Bakar Solar</v>
          </cell>
          <cell r="I1246" t="str">
            <v>Ms</v>
          </cell>
          <cell r="J1246">
            <v>4300</v>
          </cell>
          <cell r="K1246" t="str">
            <v>Liter</v>
          </cell>
        </row>
        <row r="1247">
          <cell r="C1247">
            <v>6</v>
          </cell>
          <cell r="D1247" t="str">
            <v xml:space="preserve"> Minyak Pelumas</v>
          </cell>
          <cell r="I1247" t="str">
            <v>Mp</v>
          </cell>
          <cell r="J1247">
            <v>30000</v>
          </cell>
          <cell r="K1247" t="str">
            <v>Liter</v>
          </cell>
        </row>
        <row r="1248">
          <cell r="C1248">
            <v>7</v>
          </cell>
          <cell r="D1248" t="str">
            <v xml:space="preserve"> PPN diperhitungkan pada lembar Rekapitulasi Biaya Pekerjaan.</v>
          </cell>
        </row>
        <row r="1252">
          <cell r="C1252" t="str">
            <v>JENIS ALAT</v>
          </cell>
          <cell r="E1252" t="str">
            <v>:</v>
          </cell>
          <cell r="F1252" t="str">
            <v>TAMPER</v>
          </cell>
        </row>
        <row r="1253">
          <cell r="C1253" t="str">
            <v>PERUSAHAAN</v>
          </cell>
          <cell r="E1253" t="str">
            <v>:</v>
          </cell>
          <cell r="F1253" t="str">
            <v>NAD / ACEH TENGAH</v>
          </cell>
        </row>
        <row r="1255">
          <cell r="C1255" t="str">
            <v>No.</v>
          </cell>
          <cell r="D1255" t="str">
            <v>URAIAN</v>
          </cell>
          <cell r="I1255" t="str">
            <v>KODE</v>
          </cell>
          <cell r="J1255" t="str">
            <v>KOEF.</v>
          </cell>
          <cell r="K1255" t="str">
            <v>SATUAN</v>
          </cell>
          <cell r="L1255" t="str">
            <v>KET.</v>
          </cell>
        </row>
        <row r="1257">
          <cell r="C1257" t="str">
            <v>A.</v>
          </cell>
          <cell r="D1257" t="str">
            <v xml:space="preserve"> URAIAN PERALATAN</v>
          </cell>
        </row>
        <row r="1258">
          <cell r="C1258">
            <v>1</v>
          </cell>
          <cell r="D1258" t="str">
            <v xml:space="preserve"> Jenis Peralatan</v>
          </cell>
          <cell r="I1258" t="str">
            <v>TAMPER</v>
          </cell>
          <cell r="L1258" t="str">
            <v>E 25</v>
          </cell>
        </row>
        <row r="1259">
          <cell r="C1259">
            <v>2</v>
          </cell>
          <cell r="D1259" t="str">
            <v xml:space="preserve"> Tenaga</v>
          </cell>
          <cell r="I1259" t="str">
            <v>Pw</v>
          </cell>
          <cell r="J1259">
            <v>5</v>
          </cell>
          <cell r="K1259" t="str">
            <v>HP</v>
          </cell>
        </row>
        <row r="1260">
          <cell r="C1260">
            <v>3</v>
          </cell>
          <cell r="D1260" t="str">
            <v xml:space="preserve"> Kapasitas</v>
          </cell>
          <cell r="I1260" t="str">
            <v>Cp</v>
          </cell>
          <cell r="J1260">
            <v>0.17</v>
          </cell>
          <cell r="K1260" t="str">
            <v>Ton</v>
          </cell>
        </row>
        <row r="1261">
          <cell r="C1261">
            <v>4</v>
          </cell>
          <cell r="D1261" t="str">
            <v xml:space="preserve"> Alat Baru</v>
          </cell>
          <cell r="E1261" t="str">
            <v>:</v>
          </cell>
          <cell r="F1261" t="str">
            <v>a.</v>
          </cell>
          <cell r="G1261" t="str">
            <v>Umur Ekonomis</v>
          </cell>
          <cell r="I1261" t="str">
            <v>A</v>
          </cell>
          <cell r="J1261">
            <v>4</v>
          </cell>
          <cell r="K1261" t="str">
            <v>Tahun</v>
          </cell>
        </row>
        <row r="1262">
          <cell r="F1262" t="str">
            <v>b.</v>
          </cell>
          <cell r="G1262" t="str">
            <v>Jam Kerja Dalam  1 Tahun</v>
          </cell>
          <cell r="I1262" t="str">
            <v>W</v>
          </cell>
          <cell r="J1262">
            <v>1000</v>
          </cell>
          <cell r="K1262" t="str">
            <v>Jam</v>
          </cell>
        </row>
        <row r="1263">
          <cell r="F1263" t="str">
            <v>c.</v>
          </cell>
          <cell r="G1263" t="str">
            <v>Harga Alat</v>
          </cell>
          <cell r="I1263" t="str">
            <v>B</v>
          </cell>
          <cell r="J1263">
            <v>30000000</v>
          </cell>
          <cell r="K1263" t="str">
            <v>Rupiah</v>
          </cell>
        </row>
        <row r="1264">
          <cell r="C1264">
            <v>5</v>
          </cell>
          <cell r="D1264" t="str">
            <v xml:space="preserve"> Alat Yang Dipakai</v>
          </cell>
          <cell r="E1264" t="str">
            <v>:</v>
          </cell>
          <cell r="F1264" t="str">
            <v>a.</v>
          </cell>
          <cell r="G1264" t="str">
            <v>Umur Ekonomis</v>
          </cell>
          <cell r="I1264" t="str">
            <v>A'</v>
          </cell>
          <cell r="J1264">
            <v>4</v>
          </cell>
          <cell r="K1264" t="str">
            <v>Tahun</v>
          </cell>
          <cell r="L1264" t="str">
            <v>Alat Baru</v>
          </cell>
        </row>
        <row r="1265">
          <cell r="F1265" t="str">
            <v>b.</v>
          </cell>
          <cell r="G1265" t="str">
            <v>Jam Kerja Dalam  1 Tahun</v>
          </cell>
          <cell r="I1265" t="str">
            <v>W'</v>
          </cell>
          <cell r="J1265">
            <v>1000</v>
          </cell>
          <cell r="K1265" t="str">
            <v>Jam</v>
          </cell>
          <cell r="L1265" t="str">
            <v>Alat Baru</v>
          </cell>
        </row>
        <row r="1266">
          <cell r="F1266" t="str">
            <v>c.</v>
          </cell>
          <cell r="G1266" t="str">
            <v>Harga Alat  ( * )</v>
          </cell>
          <cell r="I1266" t="str">
            <v>B'</v>
          </cell>
          <cell r="J1266">
            <v>30000000</v>
          </cell>
          <cell r="K1266" t="str">
            <v>Rupiah</v>
          </cell>
          <cell r="L1266" t="str">
            <v>Alat Baru</v>
          </cell>
        </row>
        <row r="1268">
          <cell r="C1268" t="str">
            <v>B.</v>
          </cell>
          <cell r="D1268" t="str">
            <v xml:space="preserve"> BIAYA PASTI PER JAM KERJA</v>
          </cell>
        </row>
        <row r="1269">
          <cell r="C1269">
            <v>1</v>
          </cell>
          <cell r="D1269" t="str">
            <v xml:space="preserve"> Nilai Sisa Alat</v>
          </cell>
          <cell r="E1269" t="str">
            <v>=  10 % x B</v>
          </cell>
          <cell r="I1269" t="str">
            <v>C</v>
          </cell>
          <cell r="J1269">
            <v>3000000</v>
          </cell>
          <cell r="K1269" t="str">
            <v>Rupiah</v>
          </cell>
        </row>
        <row r="1271">
          <cell r="C1271">
            <v>2</v>
          </cell>
          <cell r="D1271" t="str">
            <v xml:space="preserve"> Faktor Angsuran Modal</v>
          </cell>
          <cell r="F1271" t="str">
            <v>=</v>
          </cell>
          <cell r="G1271" t="str">
            <v>i x ( 1 + i ) ^ A'</v>
          </cell>
          <cell r="I1271" t="str">
            <v>D</v>
          </cell>
          <cell r="J1271">
            <v>0.38628912071535026</v>
          </cell>
          <cell r="K1271" t="str">
            <v>-</v>
          </cell>
        </row>
        <row r="1272">
          <cell r="G1272" t="str">
            <v>( 1 + i ) ^ A' - 1</v>
          </cell>
        </row>
        <row r="1273">
          <cell r="C1273">
            <v>3</v>
          </cell>
          <cell r="D1273" t="str">
            <v xml:space="preserve"> Biaya Pasti per Jam  :</v>
          </cell>
        </row>
        <row r="1274">
          <cell r="D1274" t="str">
            <v xml:space="preserve"> a. Biaya Pengembalian Modal</v>
          </cell>
          <cell r="F1274" t="str">
            <v>=</v>
          </cell>
          <cell r="G1274" t="str">
            <v>( B' - C ) x D</v>
          </cell>
          <cell r="I1274" t="str">
            <v>E</v>
          </cell>
          <cell r="J1274">
            <v>10429.806259314457</v>
          </cell>
          <cell r="K1274" t="str">
            <v>Rupiah</v>
          </cell>
        </row>
        <row r="1275">
          <cell r="G1275" t="str">
            <v>W'</v>
          </cell>
        </row>
        <row r="1276">
          <cell r="D1276" t="str">
            <v xml:space="preserve"> b. Asuransi, dll</v>
          </cell>
          <cell r="E1276" t="str">
            <v>=</v>
          </cell>
          <cell r="G1276" t="str">
            <v>0,002 x B'</v>
          </cell>
          <cell r="I1276" t="str">
            <v>F</v>
          </cell>
          <cell r="J1276">
            <v>60</v>
          </cell>
          <cell r="K1276" t="str">
            <v>Rupiah</v>
          </cell>
        </row>
        <row r="1277">
          <cell r="G1277" t="str">
            <v>W'</v>
          </cell>
        </row>
        <row r="1278">
          <cell r="D1278" t="str">
            <v xml:space="preserve"> Biaya Pasti per Jam</v>
          </cell>
          <cell r="E1278" t="str">
            <v>=</v>
          </cell>
          <cell r="G1278" t="str">
            <v>( E + F )</v>
          </cell>
          <cell r="I1278" t="str">
            <v>G</v>
          </cell>
          <cell r="J1278">
            <v>10489.806259314457</v>
          </cell>
          <cell r="K1278" t="str">
            <v>Rupiah</v>
          </cell>
        </row>
        <row r="1280">
          <cell r="C1280" t="str">
            <v>C.</v>
          </cell>
          <cell r="D1280" t="str">
            <v xml:space="preserve"> BIAYA OPERASI PER JAM KERJA</v>
          </cell>
        </row>
        <row r="1281">
          <cell r="C1281">
            <v>1</v>
          </cell>
          <cell r="D1281" t="str">
            <v xml:space="preserve"> Bahan Bakar </v>
          </cell>
          <cell r="E1281" t="str">
            <v>=</v>
          </cell>
          <cell r="F1281" t="str">
            <v>(0,125 - 0,175 Ltr/HP/Jam) x Pw x Ms</v>
          </cell>
          <cell r="I1281" t="str">
            <v>H</v>
          </cell>
          <cell r="J1281">
            <v>2687.5</v>
          </cell>
          <cell r="K1281" t="str">
            <v>Rupiah</v>
          </cell>
        </row>
        <row r="1282">
          <cell r="C1282">
            <v>2</v>
          </cell>
          <cell r="D1282" t="str">
            <v xml:space="preserve"> Pelumas</v>
          </cell>
          <cell r="E1282" t="str">
            <v>=</v>
          </cell>
          <cell r="F1282" t="str">
            <v>(0,01 - 0,02 Ltr/HP/Jam) x Pw x Mp</v>
          </cell>
          <cell r="I1282" t="str">
            <v>I</v>
          </cell>
          <cell r="J1282">
            <v>1500</v>
          </cell>
          <cell r="K1282" t="str">
            <v>Rupiah</v>
          </cell>
        </row>
        <row r="1283">
          <cell r="C1283">
            <v>3</v>
          </cell>
          <cell r="D1283" t="str">
            <v xml:space="preserve"> Perawatan dan Perbaikan</v>
          </cell>
          <cell r="F1283" t="str">
            <v>=</v>
          </cell>
          <cell r="G1283" t="str">
            <v xml:space="preserve"> ( 12,5 % - 17,5 % ) x B'</v>
          </cell>
          <cell r="I1283" t="str">
            <v>K</v>
          </cell>
          <cell r="J1283">
            <v>3750</v>
          </cell>
          <cell r="K1283" t="str">
            <v>Rupiah</v>
          </cell>
        </row>
        <row r="1284">
          <cell r="G1284" t="str">
            <v xml:space="preserve"> W'</v>
          </cell>
        </row>
        <row r="1285">
          <cell r="C1285">
            <v>4</v>
          </cell>
          <cell r="D1285" t="str">
            <v xml:space="preserve"> Operator</v>
          </cell>
          <cell r="E1285" t="str">
            <v>=</v>
          </cell>
          <cell r="F1285" t="str">
            <v>( 1 Orang / Jam ) x U1</v>
          </cell>
          <cell r="I1285" t="str">
            <v>L</v>
          </cell>
          <cell r="J1285">
            <v>10750</v>
          </cell>
          <cell r="K1285" t="str">
            <v>Rupiah</v>
          </cell>
        </row>
        <row r="1286">
          <cell r="C1286">
            <v>5</v>
          </cell>
          <cell r="D1286" t="str">
            <v xml:space="preserve"> Pembantu Operator</v>
          </cell>
          <cell r="E1286" t="str">
            <v>=</v>
          </cell>
          <cell r="F1286" t="str">
            <v>( 1 Orang / Jam ) x U2</v>
          </cell>
          <cell r="I1286" t="str">
            <v>M</v>
          </cell>
          <cell r="J1286">
            <v>4500</v>
          </cell>
          <cell r="K1286" t="str">
            <v>Rupiah</v>
          </cell>
        </row>
        <row r="1287">
          <cell r="D1287" t="str">
            <v xml:space="preserve"> Biaya Operasi Per Jam </v>
          </cell>
          <cell r="F1287" t="str">
            <v>=</v>
          </cell>
          <cell r="G1287" t="str">
            <v xml:space="preserve"> ( H + I + K + L + M )</v>
          </cell>
          <cell r="I1287" t="str">
            <v>P</v>
          </cell>
          <cell r="J1287">
            <v>23187.5</v>
          </cell>
          <cell r="K1287" t="str">
            <v>Rupiah</v>
          </cell>
        </row>
        <row r="1289">
          <cell r="C1289" t="str">
            <v>D.</v>
          </cell>
          <cell r="D1289" t="str">
            <v xml:space="preserve"> TOTAL BIAYA SEWA ALAT / JAM   =   ( G + P )</v>
          </cell>
          <cell r="I1289" t="str">
            <v>S</v>
          </cell>
          <cell r="J1289">
            <v>33677.306259314457</v>
          </cell>
          <cell r="K1289" t="str">
            <v>Rupiah</v>
          </cell>
        </row>
        <row r="1291">
          <cell r="C1291" t="str">
            <v>E.</v>
          </cell>
          <cell r="D1291" t="str">
            <v xml:space="preserve"> LAIN - LAIN</v>
          </cell>
        </row>
        <row r="1292">
          <cell r="C1292">
            <v>1</v>
          </cell>
          <cell r="D1292" t="str">
            <v xml:space="preserve"> Tingkat Suku Bunga</v>
          </cell>
          <cell r="I1292" t="str">
            <v>i</v>
          </cell>
          <cell r="J1292">
            <v>20</v>
          </cell>
          <cell r="K1292" t="str">
            <v>% / Tahun</v>
          </cell>
        </row>
        <row r="1293">
          <cell r="C1293">
            <v>2</v>
          </cell>
          <cell r="D1293" t="str">
            <v xml:space="preserve"> Upah Operator / Sopir</v>
          </cell>
          <cell r="I1293" t="str">
            <v>U1</v>
          </cell>
          <cell r="J1293">
            <v>10750</v>
          </cell>
          <cell r="K1293" t="str">
            <v>Rp. / Jam</v>
          </cell>
        </row>
        <row r="1294">
          <cell r="C1294">
            <v>3</v>
          </cell>
          <cell r="D1294" t="str">
            <v xml:space="preserve"> Upah Pembantu Operator / Pembantu Sopir</v>
          </cell>
          <cell r="I1294" t="str">
            <v>U2</v>
          </cell>
          <cell r="J1294">
            <v>4500</v>
          </cell>
          <cell r="K1294" t="str">
            <v>Rp. / Jam</v>
          </cell>
        </row>
        <row r="1295">
          <cell r="C1295">
            <v>4</v>
          </cell>
          <cell r="D1295" t="str">
            <v xml:space="preserve"> Bahan Bakar Bensin</v>
          </cell>
          <cell r="I1295" t="str">
            <v>Mb</v>
          </cell>
          <cell r="J1295">
            <v>4500</v>
          </cell>
          <cell r="K1295" t="str">
            <v>Liter</v>
          </cell>
        </row>
        <row r="1296">
          <cell r="C1296">
            <v>5</v>
          </cell>
          <cell r="D1296" t="str">
            <v xml:space="preserve"> Bahan Bakar Solar</v>
          </cell>
          <cell r="I1296" t="str">
            <v>Ms</v>
          </cell>
          <cell r="J1296">
            <v>4300</v>
          </cell>
          <cell r="K1296" t="str">
            <v>Liter</v>
          </cell>
        </row>
        <row r="1297">
          <cell r="C1297">
            <v>6</v>
          </cell>
          <cell r="D1297" t="str">
            <v xml:space="preserve"> Minyak Pelumas</v>
          </cell>
          <cell r="I1297" t="str">
            <v>Mp</v>
          </cell>
          <cell r="J1297">
            <v>30000</v>
          </cell>
          <cell r="K1297" t="str">
            <v>Liter</v>
          </cell>
        </row>
        <row r="1298">
          <cell r="C1298">
            <v>7</v>
          </cell>
          <cell r="D1298" t="str">
            <v xml:space="preserve"> PPN diperhitungkan pada lembar Rekapitulasi Biaya Pekerjaan.</v>
          </cell>
        </row>
        <row r="1302">
          <cell r="C1302" t="str">
            <v>JENIS ALAT</v>
          </cell>
          <cell r="E1302" t="str">
            <v>:</v>
          </cell>
          <cell r="F1302" t="str">
            <v>JACK HAMMER</v>
          </cell>
        </row>
        <row r="1303">
          <cell r="C1303" t="str">
            <v>PERUSAHAAN</v>
          </cell>
          <cell r="E1303" t="str">
            <v>:</v>
          </cell>
          <cell r="F1303" t="str">
            <v>NAD / ACEH TENGAH</v>
          </cell>
        </row>
        <row r="1305">
          <cell r="C1305" t="str">
            <v>No.</v>
          </cell>
          <cell r="D1305" t="str">
            <v>URAIAN</v>
          </cell>
          <cell r="I1305" t="str">
            <v>KODE</v>
          </cell>
          <cell r="J1305" t="str">
            <v>KOEF.</v>
          </cell>
          <cell r="K1305" t="str">
            <v>SATUAN</v>
          </cell>
          <cell r="L1305" t="str">
            <v>KET.</v>
          </cell>
        </row>
        <row r="1307">
          <cell r="C1307" t="str">
            <v>A.</v>
          </cell>
          <cell r="D1307" t="str">
            <v xml:space="preserve"> URAIAN PERALATAN</v>
          </cell>
        </row>
        <row r="1308">
          <cell r="C1308">
            <v>1</v>
          </cell>
          <cell r="D1308" t="str">
            <v xml:space="preserve"> Jenis Peralatan</v>
          </cell>
          <cell r="I1308" t="str">
            <v>JACK HAMMER</v>
          </cell>
          <cell r="L1308" t="str">
            <v>E 26</v>
          </cell>
        </row>
        <row r="1309">
          <cell r="C1309">
            <v>2</v>
          </cell>
          <cell r="D1309" t="str">
            <v xml:space="preserve"> Tenaga</v>
          </cell>
          <cell r="I1309" t="str">
            <v>Pw</v>
          </cell>
          <cell r="J1309">
            <v>3</v>
          </cell>
          <cell r="K1309" t="str">
            <v>HP</v>
          </cell>
        </row>
        <row r="1310">
          <cell r="C1310">
            <v>3</v>
          </cell>
          <cell r="D1310" t="str">
            <v xml:space="preserve"> Kapasitas</v>
          </cell>
          <cell r="I1310" t="str">
            <v>Cp</v>
          </cell>
          <cell r="J1310" t="str">
            <v xml:space="preserve">-  </v>
          </cell>
          <cell r="K1310" t="str">
            <v>-</v>
          </cell>
        </row>
        <row r="1311">
          <cell r="C1311">
            <v>4</v>
          </cell>
          <cell r="D1311" t="str">
            <v xml:space="preserve"> Alat Baru</v>
          </cell>
          <cell r="E1311" t="str">
            <v>:</v>
          </cell>
          <cell r="F1311" t="str">
            <v>a.</v>
          </cell>
          <cell r="G1311" t="str">
            <v>Umur Ekonomis</v>
          </cell>
          <cell r="I1311" t="str">
            <v>A</v>
          </cell>
          <cell r="J1311">
            <v>4</v>
          </cell>
          <cell r="K1311" t="str">
            <v>Tahun</v>
          </cell>
        </row>
        <row r="1312">
          <cell r="F1312" t="str">
            <v>b.</v>
          </cell>
          <cell r="G1312" t="str">
            <v>Jam Kerja Dalam  1 Tahun</v>
          </cell>
          <cell r="I1312" t="str">
            <v>W</v>
          </cell>
          <cell r="J1312">
            <v>1000</v>
          </cell>
          <cell r="K1312" t="str">
            <v>Jam</v>
          </cell>
        </row>
        <row r="1313">
          <cell r="F1313" t="str">
            <v>c.</v>
          </cell>
          <cell r="G1313" t="str">
            <v>Harga Alat</v>
          </cell>
          <cell r="I1313" t="str">
            <v>B</v>
          </cell>
          <cell r="J1313">
            <v>30000000</v>
          </cell>
          <cell r="K1313" t="str">
            <v>Rupiah</v>
          </cell>
        </row>
        <row r="1314">
          <cell r="C1314">
            <v>5</v>
          </cell>
          <cell r="D1314" t="str">
            <v xml:space="preserve"> Alat Yang Dipakai</v>
          </cell>
          <cell r="E1314" t="str">
            <v>:</v>
          </cell>
          <cell r="F1314" t="str">
            <v>a.</v>
          </cell>
          <cell r="G1314" t="str">
            <v>Umur Ekonomis</v>
          </cell>
          <cell r="I1314" t="str">
            <v>A'</v>
          </cell>
          <cell r="J1314">
            <v>4</v>
          </cell>
          <cell r="K1314" t="str">
            <v>Tahun</v>
          </cell>
          <cell r="L1314" t="str">
            <v>Alat Baru</v>
          </cell>
        </row>
        <row r="1315">
          <cell r="F1315" t="str">
            <v>b.</v>
          </cell>
          <cell r="G1315" t="str">
            <v>Jam Kerja Dalam  1 Tahun</v>
          </cell>
          <cell r="I1315" t="str">
            <v>W'</v>
          </cell>
          <cell r="J1315">
            <v>1000</v>
          </cell>
          <cell r="K1315" t="str">
            <v>Jam</v>
          </cell>
          <cell r="L1315" t="str">
            <v>Alat Baru</v>
          </cell>
        </row>
        <row r="1316">
          <cell r="F1316" t="str">
            <v>c.</v>
          </cell>
          <cell r="G1316" t="str">
            <v>Harga Alat  ( * )</v>
          </cell>
          <cell r="I1316" t="str">
            <v>B'</v>
          </cell>
          <cell r="J1316">
            <v>30000000</v>
          </cell>
          <cell r="K1316" t="str">
            <v>Rupiah</v>
          </cell>
          <cell r="L1316" t="str">
            <v>Alat Baru</v>
          </cell>
        </row>
        <row r="1318">
          <cell r="C1318" t="str">
            <v>B.</v>
          </cell>
          <cell r="D1318" t="str">
            <v xml:space="preserve"> BIAYA PASTI PER JAM KERJA</v>
          </cell>
        </row>
        <row r="1319">
          <cell r="C1319">
            <v>1</v>
          </cell>
          <cell r="D1319" t="str">
            <v xml:space="preserve"> Nilai Sisa Alat</v>
          </cell>
          <cell r="E1319" t="str">
            <v>=  10 % x B</v>
          </cell>
          <cell r="I1319" t="str">
            <v>C</v>
          </cell>
          <cell r="J1319">
            <v>3000000</v>
          </cell>
          <cell r="K1319" t="str">
            <v>Rupiah</v>
          </cell>
        </row>
        <row r="1320">
          <cell r="C1320">
            <v>2</v>
          </cell>
          <cell r="D1320" t="str">
            <v xml:space="preserve"> Faktor Angsuran Modal</v>
          </cell>
          <cell r="F1320" t="str">
            <v>=</v>
          </cell>
          <cell r="G1320" t="str">
            <v>i x ( 1 + i ) ^ A'</v>
          </cell>
          <cell r="I1320" t="str">
            <v>D</v>
          </cell>
          <cell r="J1320">
            <v>0.38628912071535026</v>
          </cell>
          <cell r="K1320" t="str">
            <v>-</v>
          </cell>
        </row>
        <row r="1321">
          <cell r="G1321" t="str">
            <v>( 1 + i ) ^ A' - 1</v>
          </cell>
        </row>
        <row r="1322">
          <cell r="C1322">
            <v>3</v>
          </cell>
          <cell r="D1322" t="str">
            <v xml:space="preserve"> Biaya Pasti per Jam  :</v>
          </cell>
        </row>
        <row r="1323">
          <cell r="D1323" t="str">
            <v xml:space="preserve"> a. Biaya Pengembalian Modal</v>
          </cell>
          <cell r="F1323" t="str">
            <v>=</v>
          </cell>
          <cell r="G1323" t="str">
            <v>( B' - C ) x D</v>
          </cell>
          <cell r="I1323" t="str">
            <v>E</v>
          </cell>
          <cell r="J1323">
            <v>10429.806259314457</v>
          </cell>
          <cell r="K1323" t="str">
            <v>Rupiah</v>
          </cell>
        </row>
        <row r="1324">
          <cell r="G1324" t="str">
            <v>W'</v>
          </cell>
        </row>
        <row r="1325">
          <cell r="D1325" t="str">
            <v xml:space="preserve"> b. Asuransi, dll</v>
          </cell>
          <cell r="E1325" t="str">
            <v>=</v>
          </cell>
          <cell r="G1325" t="str">
            <v>0,002 x B'</v>
          </cell>
          <cell r="I1325" t="str">
            <v>F</v>
          </cell>
          <cell r="J1325">
            <v>60</v>
          </cell>
          <cell r="K1325" t="str">
            <v>Rupiah</v>
          </cell>
        </row>
        <row r="1326">
          <cell r="G1326" t="str">
            <v>W'</v>
          </cell>
        </row>
        <row r="1327">
          <cell r="D1327" t="str">
            <v xml:space="preserve"> Biaya Pasti per Jam</v>
          </cell>
          <cell r="E1327" t="str">
            <v>=</v>
          </cell>
          <cell r="G1327" t="str">
            <v>( E + F )</v>
          </cell>
          <cell r="I1327" t="str">
            <v>G</v>
          </cell>
          <cell r="J1327">
            <v>10489.806259314457</v>
          </cell>
          <cell r="K1327" t="str">
            <v>Rupiah</v>
          </cell>
        </row>
        <row r="1329">
          <cell r="C1329" t="str">
            <v>C.</v>
          </cell>
          <cell r="D1329" t="str">
            <v xml:space="preserve"> BIAYA OPERASI PER JAM KERJA</v>
          </cell>
        </row>
        <row r="1330">
          <cell r="C1330">
            <v>1</v>
          </cell>
          <cell r="D1330" t="str">
            <v xml:space="preserve"> Bahan Bakar </v>
          </cell>
          <cell r="E1330" t="str">
            <v>=</v>
          </cell>
          <cell r="F1330" t="str">
            <v>(0,125 - 0,175 Ltr/HP/Jam) x Pw x Ms</v>
          </cell>
          <cell r="I1330" t="str">
            <v>H</v>
          </cell>
          <cell r="J1330">
            <v>1612.5</v>
          </cell>
          <cell r="K1330" t="str">
            <v>Rupiah</v>
          </cell>
        </row>
        <row r="1331">
          <cell r="C1331">
            <v>2</v>
          </cell>
          <cell r="D1331" t="str">
            <v xml:space="preserve"> Pelumas</v>
          </cell>
          <cell r="E1331" t="str">
            <v>=</v>
          </cell>
          <cell r="F1331" t="str">
            <v>(0,01 - 0,02 Ltr/HP/Jam) x Pw x Mp</v>
          </cell>
          <cell r="I1331" t="str">
            <v>I</v>
          </cell>
          <cell r="J1331">
            <v>900</v>
          </cell>
          <cell r="K1331" t="str">
            <v>Rupiah</v>
          </cell>
        </row>
        <row r="1332">
          <cell r="C1332">
            <v>3</v>
          </cell>
          <cell r="D1332" t="str">
            <v xml:space="preserve"> Perawatan dan Perbaikan</v>
          </cell>
          <cell r="F1332" t="str">
            <v>=</v>
          </cell>
          <cell r="G1332" t="str">
            <v xml:space="preserve"> ( 12,5 % - 17,5 % ) x B'</v>
          </cell>
          <cell r="I1332" t="str">
            <v>K</v>
          </cell>
          <cell r="J1332">
            <v>3750</v>
          </cell>
          <cell r="K1332" t="str">
            <v>Rupiah</v>
          </cell>
        </row>
        <row r="1333">
          <cell r="G1333" t="str">
            <v xml:space="preserve"> W'</v>
          </cell>
        </row>
        <row r="1334">
          <cell r="C1334">
            <v>4</v>
          </cell>
          <cell r="D1334" t="str">
            <v xml:space="preserve"> Operator</v>
          </cell>
          <cell r="E1334" t="str">
            <v>=</v>
          </cell>
          <cell r="F1334" t="str">
            <v>( 1 Orang / Jam ) x U1</v>
          </cell>
          <cell r="I1334" t="str">
            <v>L</v>
          </cell>
          <cell r="J1334">
            <v>10750</v>
          </cell>
          <cell r="K1334" t="str">
            <v>Rupiah</v>
          </cell>
        </row>
        <row r="1335">
          <cell r="C1335">
            <v>5</v>
          </cell>
          <cell r="D1335" t="str">
            <v xml:space="preserve"> Pembantu Operator</v>
          </cell>
          <cell r="E1335" t="str">
            <v>=</v>
          </cell>
          <cell r="F1335" t="str">
            <v>( 1 Orang / Jam ) x U2</v>
          </cell>
          <cell r="I1335" t="str">
            <v>M</v>
          </cell>
          <cell r="J1335">
            <v>4500</v>
          </cell>
          <cell r="K1335" t="str">
            <v>Rupiah</v>
          </cell>
        </row>
        <row r="1336">
          <cell r="D1336" t="str">
            <v xml:space="preserve"> Biaya Operasi Per Jam </v>
          </cell>
          <cell r="F1336" t="str">
            <v>=</v>
          </cell>
          <cell r="G1336" t="str">
            <v xml:space="preserve"> ( H + I + K + L + M )</v>
          </cell>
          <cell r="I1336" t="str">
            <v>P</v>
          </cell>
          <cell r="J1336">
            <v>21512.5</v>
          </cell>
          <cell r="K1336" t="str">
            <v>Rupiah</v>
          </cell>
        </row>
        <row r="1338">
          <cell r="C1338" t="str">
            <v>D.</v>
          </cell>
          <cell r="D1338" t="str">
            <v xml:space="preserve"> TOTAL BIAYA SEWA ALAT / JAM   =   ( G + P )</v>
          </cell>
          <cell r="I1338" t="str">
            <v>S</v>
          </cell>
          <cell r="J1338">
            <v>32002.306259314457</v>
          </cell>
          <cell r="K1338" t="str">
            <v>Rupiah</v>
          </cell>
        </row>
        <row r="1340">
          <cell r="C1340" t="str">
            <v>E.</v>
          </cell>
          <cell r="D1340" t="str">
            <v xml:space="preserve"> LAIN - LAIN</v>
          </cell>
        </row>
        <row r="1341">
          <cell r="C1341">
            <v>1</v>
          </cell>
          <cell r="D1341" t="str">
            <v xml:space="preserve"> Tingkat Suku Bunga</v>
          </cell>
          <cell r="I1341" t="str">
            <v>i</v>
          </cell>
          <cell r="J1341">
            <v>20</v>
          </cell>
          <cell r="K1341" t="str">
            <v>% / Tahun</v>
          </cell>
        </row>
        <row r="1342">
          <cell r="C1342">
            <v>2</v>
          </cell>
          <cell r="D1342" t="str">
            <v xml:space="preserve"> Upah Operator / Sopir</v>
          </cell>
          <cell r="I1342" t="str">
            <v>U1</v>
          </cell>
          <cell r="J1342">
            <v>10750</v>
          </cell>
          <cell r="K1342" t="str">
            <v>Rp. / Jam</v>
          </cell>
        </row>
        <row r="1343">
          <cell r="C1343">
            <v>3</v>
          </cell>
          <cell r="D1343" t="str">
            <v xml:space="preserve"> Upah Pembantu Operator / Pembantu Sopir</v>
          </cell>
          <cell r="I1343" t="str">
            <v>U2</v>
          </cell>
          <cell r="J1343">
            <v>4500</v>
          </cell>
          <cell r="K1343" t="str">
            <v>Rp. / Jam</v>
          </cell>
        </row>
        <row r="1344">
          <cell r="C1344">
            <v>4</v>
          </cell>
          <cell r="D1344" t="str">
            <v xml:space="preserve"> Bahan Bakar Bensin</v>
          </cell>
          <cell r="I1344" t="str">
            <v>Mb</v>
          </cell>
          <cell r="J1344">
            <v>4500</v>
          </cell>
          <cell r="K1344" t="str">
            <v>Liter</v>
          </cell>
        </row>
        <row r="1345">
          <cell r="C1345">
            <v>5</v>
          </cell>
          <cell r="D1345" t="str">
            <v xml:space="preserve"> Bahan Bakar Solar</v>
          </cell>
          <cell r="I1345" t="str">
            <v>Ms</v>
          </cell>
          <cell r="J1345">
            <v>4300</v>
          </cell>
          <cell r="K1345" t="str">
            <v>Liter</v>
          </cell>
        </row>
        <row r="1346">
          <cell r="C1346">
            <v>6</v>
          </cell>
          <cell r="D1346" t="str">
            <v xml:space="preserve"> Minyak Pelumas</v>
          </cell>
          <cell r="I1346" t="str">
            <v>Mp</v>
          </cell>
          <cell r="J1346">
            <v>30000</v>
          </cell>
          <cell r="K1346" t="str">
            <v>Liter</v>
          </cell>
        </row>
        <row r="1347">
          <cell r="C1347">
            <v>7</v>
          </cell>
          <cell r="D1347" t="str">
            <v xml:space="preserve"> PPN diperhitungkan pada lembar Rekapitulasi Biaya Pekerjaan.</v>
          </cell>
        </row>
        <row r="1351">
          <cell r="C1351" t="str">
            <v>JENIS ALAT</v>
          </cell>
          <cell r="E1351" t="str">
            <v>:</v>
          </cell>
          <cell r="F1351" t="str">
            <v>FULVI MIXER</v>
          </cell>
        </row>
        <row r="1352">
          <cell r="C1352" t="str">
            <v>PERUSAHAAN</v>
          </cell>
          <cell r="E1352" t="str">
            <v>:</v>
          </cell>
          <cell r="F1352" t="str">
            <v>NAD / ACEH TENGAH</v>
          </cell>
        </row>
        <row r="1354">
          <cell r="C1354" t="str">
            <v>No.</v>
          </cell>
          <cell r="D1354" t="str">
            <v>URAIAN</v>
          </cell>
          <cell r="I1354" t="str">
            <v>KODE</v>
          </cell>
          <cell r="J1354" t="str">
            <v>KOEF.</v>
          </cell>
          <cell r="K1354" t="str">
            <v>SATUAN</v>
          </cell>
          <cell r="L1354" t="str">
            <v>KET.</v>
          </cell>
        </row>
        <row r="1356">
          <cell r="C1356" t="str">
            <v>A.</v>
          </cell>
          <cell r="D1356" t="str">
            <v xml:space="preserve"> URAIAN PERALATAN</v>
          </cell>
        </row>
        <row r="1357">
          <cell r="C1357">
            <v>1</v>
          </cell>
          <cell r="D1357" t="str">
            <v xml:space="preserve"> Jenis Peralatan</v>
          </cell>
          <cell r="I1357" t="str">
            <v>FULVI MIXER</v>
          </cell>
          <cell r="L1357" t="str">
            <v>E 27</v>
          </cell>
        </row>
        <row r="1358">
          <cell r="C1358">
            <v>2</v>
          </cell>
          <cell r="D1358" t="str">
            <v xml:space="preserve"> Tenaga</v>
          </cell>
          <cell r="I1358" t="str">
            <v>Pw</v>
          </cell>
          <cell r="J1358">
            <v>75</v>
          </cell>
          <cell r="K1358" t="str">
            <v>HP</v>
          </cell>
        </row>
        <row r="1359">
          <cell r="C1359">
            <v>3</v>
          </cell>
          <cell r="D1359" t="str">
            <v xml:space="preserve"> Kapasitas</v>
          </cell>
          <cell r="I1359" t="str">
            <v>Cp</v>
          </cell>
          <cell r="J1359" t="str">
            <v xml:space="preserve">-  </v>
          </cell>
          <cell r="K1359" t="str">
            <v>-</v>
          </cell>
        </row>
        <row r="1360">
          <cell r="C1360">
            <v>4</v>
          </cell>
          <cell r="D1360" t="str">
            <v xml:space="preserve"> Alat Baru</v>
          </cell>
          <cell r="E1360" t="str">
            <v>:</v>
          </cell>
          <cell r="F1360" t="str">
            <v>a.</v>
          </cell>
          <cell r="G1360" t="str">
            <v>Umur Ekonomis</v>
          </cell>
          <cell r="I1360" t="str">
            <v>A</v>
          </cell>
          <cell r="J1360">
            <v>5</v>
          </cell>
          <cell r="K1360" t="str">
            <v>Tahun</v>
          </cell>
        </row>
        <row r="1361">
          <cell r="F1361" t="str">
            <v>b.</v>
          </cell>
          <cell r="G1361" t="str">
            <v>Jam Kerja Dalam  1 Tahun</v>
          </cell>
          <cell r="I1361" t="str">
            <v>W</v>
          </cell>
          <cell r="J1361">
            <v>2000</v>
          </cell>
          <cell r="K1361" t="str">
            <v>Jam</v>
          </cell>
        </row>
        <row r="1362">
          <cell r="F1362" t="str">
            <v>c.</v>
          </cell>
          <cell r="G1362" t="str">
            <v>Harga Alat</v>
          </cell>
          <cell r="I1362" t="str">
            <v>B</v>
          </cell>
          <cell r="J1362">
            <v>45000000</v>
          </cell>
          <cell r="K1362" t="str">
            <v>Rupiah</v>
          </cell>
        </row>
        <row r="1363">
          <cell r="C1363">
            <v>5</v>
          </cell>
          <cell r="D1363" t="str">
            <v xml:space="preserve"> Alat Yang Dipakai</v>
          </cell>
          <cell r="E1363" t="str">
            <v>:</v>
          </cell>
          <cell r="F1363" t="str">
            <v>a.</v>
          </cell>
          <cell r="G1363" t="str">
            <v>Umur Ekonomis</v>
          </cell>
          <cell r="I1363" t="str">
            <v>A'</v>
          </cell>
          <cell r="J1363">
            <v>5</v>
          </cell>
          <cell r="K1363" t="str">
            <v>Tahun</v>
          </cell>
          <cell r="L1363" t="str">
            <v>Alat Baru</v>
          </cell>
        </row>
        <row r="1364">
          <cell r="F1364" t="str">
            <v>b.</v>
          </cell>
          <cell r="G1364" t="str">
            <v>Jam Kerja Dalam  1 Tahun</v>
          </cell>
          <cell r="I1364" t="str">
            <v>W'</v>
          </cell>
          <cell r="J1364">
            <v>2000</v>
          </cell>
          <cell r="K1364" t="str">
            <v>Jam</v>
          </cell>
          <cell r="L1364" t="str">
            <v>Alat Baru</v>
          </cell>
        </row>
        <row r="1365">
          <cell r="F1365" t="str">
            <v>c.</v>
          </cell>
          <cell r="G1365" t="str">
            <v>Harga Alat  ( * )</v>
          </cell>
          <cell r="I1365" t="str">
            <v>B'</v>
          </cell>
          <cell r="J1365">
            <v>45000000</v>
          </cell>
          <cell r="K1365" t="str">
            <v>Rupiah</v>
          </cell>
          <cell r="L1365" t="str">
            <v>Alat Baru</v>
          </cell>
        </row>
        <row r="1367">
          <cell r="C1367" t="str">
            <v>B.</v>
          </cell>
          <cell r="D1367" t="str">
            <v xml:space="preserve"> BIAYA PASTI PER JAM KERJA</v>
          </cell>
        </row>
        <row r="1368">
          <cell r="C1368">
            <v>1</v>
          </cell>
          <cell r="D1368" t="str">
            <v xml:space="preserve"> Nilai Sisa Alat</v>
          </cell>
          <cell r="E1368" t="str">
            <v>=  10 % x B</v>
          </cell>
          <cell r="I1368" t="str">
            <v>C</v>
          </cell>
          <cell r="J1368">
            <v>4500000</v>
          </cell>
          <cell r="K1368" t="str">
            <v>Rupiah</v>
          </cell>
        </row>
        <row r="1369">
          <cell r="C1369">
            <v>2</v>
          </cell>
          <cell r="D1369" t="str">
            <v xml:space="preserve"> Faktor Angsuran Modal</v>
          </cell>
          <cell r="F1369" t="str">
            <v>=</v>
          </cell>
          <cell r="G1369" t="str">
            <v>i x ( 1 + i ) ^ A'</v>
          </cell>
          <cell r="I1369" t="str">
            <v>D</v>
          </cell>
          <cell r="J1369">
            <v>0.33437970328961514</v>
          </cell>
          <cell r="K1369" t="str">
            <v>-</v>
          </cell>
        </row>
        <row r="1370">
          <cell r="G1370" t="str">
            <v>( 1 + i ) ^ A' - 1</v>
          </cell>
        </row>
        <row r="1371">
          <cell r="C1371">
            <v>3</v>
          </cell>
          <cell r="D1371" t="str">
            <v xml:space="preserve"> Biaya Pasti per Jam  :</v>
          </cell>
        </row>
        <row r="1372">
          <cell r="D1372" t="str">
            <v xml:space="preserve"> a. Biaya Pengembalian Modal</v>
          </cell>
          <cell r="F1372" t="str">
            <v>=</v>
          </cell>
          <cell r="G1372" t="str">
            <v>( B' - C ) x D</v>
          </cell>
          <cell r="I1372" t="str">
            <v>E</v>
          </cell>
          <cell r="J1372">
            <v>6771.1889916147065</v>
          </cell>
          <cell r="K1372" t="str">
            <v>Rupiah</v>
          </cell>
        </row>
        <row r="1373">
          <cell r="G1373" t="str">
            <v>W'</v>
          </cell>
        </row>
        <row r="1374">
          <cell r="D1374" t="str">
            <v xml:space="preserve"> b. Asuransi, dll</v>
          </cell>
          <cell r="E1374" t="str">
            <v>=</v>
          </cell>
          <cell r="G1374" t="str">
            <v>0,002 x B'</v>
          </cell>
          <cell r="I1374" t="str">
            <v>F</v>
          </cell>
          <cell r="J1374">
            <v>45</v>
          </cell>
          <cell r="K1374" t="str">
            <v>Rupiah</v>
          </cell>
        </row>
        <row r="1375">
          <cell r="G1375" t="str">
            <v>W'</v>
          </cell>
        </row>
        <row r="1376">
          <cell r="D1376" t="str">
            <v xml:space="preserve"> Biaya Pasti per Jam</v>
          </cell>
          <cell r="E1376" t="str">
            <v>=</v>
          </cell>
          <cell r="G1376" t="str">
            <v>( E + F )</v>
          </cell>
          <cell r="I1376" t="str">
            <v>G</v>
          </cell>
          <cell r="J1376">
            <v>6816.1889916147065</v>
          </cell>
          <cell r="K1376" t="str">
            <v>Rupiah</v>
          </cell>
        </row>
        <row r="1378">
          <cell r="C1378" t="str">
            <v>C.</v>
          </cell>
          <cell r="D1378" t="str">
            <v xml:space="preserve"> BIAYA OPERASI PER JAM KERJA</v>
          </cell>
        </row>
        <row r="1379">
          <cell r="C1379">
            <v>1</v>
          </cell>
          <cell r="D1379" t="str">
            <v xml:space="preserve"> Bahan Bakar </v>
          </cell>
          <cell r="E1379" t="str">
            <v>=</v>
          </cell>
          <cell r="F1379" t="str">
            <v>(0,125 - 0,175 Ltr/HP/Jam) x Pw x Ms</v>
          </cell>
          <cell r="I1379" t="str">
            <v>H</v>
          </cell>
          <cell r="J1379">
            <v>40312.5</v>
          </cell>
          <cell r="K1379" t="str">
            <v>Rupiah</v>
          </cell>
        </row>
        <row r="1380">
          <cell r="C1380">
            <v>2</v>
          </cell>
          <cell r="D1380" t="str">
            <v xml:space="preserve"> Pelumas</v>
          </cell>
          <cell r="E1380" t="str">
            <v>=</v>
          </cell>
          <cell r="F1380" t="str">
            <v>(0,01 - 0,02 Ltr/HP/Jam) x Pw x Mp</v>
          </cell>
          <cell r="I1380" t="str">
            <v>I</v>
          </cell>
          <cell r="J1380">
            <v>22500</v>
          </cell>
          <cell r="K1380" t="str">
            <v>Rupiah</v>
          </cell>
        </row>
        <row r="1381">
          <cell r="C1381">
            <v>3</v>
          </cell>
          <cell r="D1381" t="str">
            <v xml:space="preserve"> Perawatan dan Perbaikan</v>
          </cell>
          <cell r="F1381" t="str">
            <v>=</v>
          </cell>
          <cell r="G1381" t="str">
            <v xml:space="preserve"> ( 12,5 % - 17,5 % ) x B'</v>
          </cell>
          <cell r="I1381" t="str">
            <v>K</v>
          </cell>
          <cell r="J1381">
            <v>2812.5</v>
          </cell>
          <cell r="K1381" t="str">
            <v>Rupiah</v>
          </cell>
        </row>
        <row r="1382">
          <cell r="G1382" t="str">
            <v xml:space="preserve"> W'</v>
          </cell>
        </row>
        <row r="1383">
          <cell r="C1383">
            <v>4</v>
          </cell>
          <cell r="D1383" t="str">
            <v xml:space="preserve"> Operator</v>
          </cell>
          <cell r="E1383" t="str">
            <v>=</v>
          </cell>
          <cell r="F1383" t="str">
            <v>( 1 Orang / Jam ) x U1</v>
          </cell>
          <cell r="I1383" t="str">
            <v>L</v>
          </cell>
          <cell r="J1383">
            <v>10750</v>
          </cell>
          <cell r="K1383" t="str">
            <v>Rupiah</v>
          </cell>
        </row>
        <row r="1384">
          <cell r="C1384">
            <v>5</v>
          </cell>
          <cell r="D1384" t="str">
            <v xml:space="preserve"> Pembantu Operator</v>
          </cell>
          <cell r="E1384" t="str">
            <v>=</v>
          </cell>
          <cell r="F1384" t="str">
            <v>( 1 Orang / Jam ) x U2</v>
          </cell>
          <cell r="I1384" t="str">
            <v>M</v>
          </cell>
          <cell r="J1384">
            <v>4500</v>
          </cell>
          <cell r="K1384" t="str">
            <v>Rupiah</v>
          </cell>
        </row>
        <row r="1386">
          <cell r="D1386" t="str">
            <v xml:space="preserve"> Biaya Operasi Per Jam </v>
          </cell>
          <cell r="F1386" t="str">
            <v>=</v>
          </cell>
          <cell r="G1386" t="str">
            <v xml:space="preserve"> ( H + I + K + L + M )</v>
          </cell>
          <cell r="I1386" t="str">
            <v>P</v>
          </cell>
          <cell r="J1386">
            <v>80875</v>
          </cell>
          <cell r="K1386" t="str">
            <v>Rupiah</v>
          </cell>
        </row>
        <row r="1388">
          <cell r="C1388" t="str">
            <v>D.</v>
          </cell>
          <cell r="D1388" t="str">
            <v xml:space="preserve"> TOTAL BIAYA SEWA ALAT / JAM   =   ( G + P )</v>
          </cell>
          <cell r="I1388" t="str">
            <v>S</v>
          </cell>
          <cell r="J1388">
            <v>87691.188991614705</v>
          </cell>
          <cell r="K1388" t="str">
            <v>Rupiah</v>
          </cell>
        </row>
        <row r="1390">
          <cell r="C1390" t="str">
            <v>E.</v>
          </cell>
          <cell r="D1390" t="str">
            <v xml:space="preserve"> LAIN - LAIN</v>
          </cell>
        </row>
        <row r="1391">
          <cell r="C1391">
            <v>1</v>
          </cell>
          <cell r="D1391" t="str">
            <v xml:space="preserve"> Tingkat Suku Bunga</v>
          </cell>
          <cell r="I1391" t="str">
            <v>i</v>
          </cell>
          <cell r="J1391">
            <v>20</v>
          </cell>
          <cell r="K1391" t="str">
            <v>% / Tahun</v>
          </cell>
        </row>
        <row r="1392">
          <cell r="C1392">
            <v>2</v>
          </cell>
          <cell r="D1392" t="str">
            <v xml:space="preserve"> Upah Operator / Sopir</v>
          </cell>
          <cell r="I1392" t="str">
            <v>U1</v>
          </cell>
          <cell r="J1392">
            <v>10750</v>
          </cell>
          <cell r="K1392" t="str">
            <v>Rp. / Jam</v>
          </cell>
        </row>
        <row r="1393">
          <cell r="C1393">
            <v>3</v>
          </cell>
          <cell r="D1393" t="str">
            <v xml:space="preserve"> Upah Pembantu Operator / Pembantu Sopir</v>
          </cell>
          <cell r="I1393" t="str">
            <v>U2</v>
          </cell>
          <cell r="J1393">
            <v>4500</v>
          </cell>
          <cell r="K1393" t="str">
            <v>Rp. / Jam</v>
          </cell>
        </row>
        <row r="1394">
          <cell r="C1394">
            <v>4</v>
          </cell>
          <cell r="D1394" t="str">
            <v xml:space="preserve"> Bahan Bakar Bensin</v>
          </cell>
          <cell r="I1394" t="str">
            <v>Mb</v>
          </cell>
          <cell r="J1394">
            <v>4500</v>
          </cell>
          <cell r="K1394" t="str">
            <v>Liter</v>
          </cell>
        </row>
        <row r="1395">
          <cell r="C1395">
            <v>5</v>
          </cell>
          <cell r="D1395" t="str">
            <v xml:space="preserve"> Bahan Bakar Solar</v>
          </cell>
          <cell r="I1395" t="str">
            <v>Ms</v>
          </cell>
          <cell r="J1395">
            <v>4300</v>
          </cell>
          <cell r="K1395" t="str">
            <v>Liter</v>
          </cell>
        </row>
        <row r="1396">
          <cell r="C1396">
            <v>6</v>
          </cell>
          <cell r="D1396" t="str">
            <v xml:space="preserve"> Minyak Pelumas</v>
          </cell>
          <cell r="I1396" t="str">
            <v>Mp</v>
          </cell>
          <cell r="J1396">
            <v>30000</v>
          </cell>
          <cell r="K1396" t="str">
            <v>Liter</v>
          </cell>
        </row>
        <row r="1397">
          <cell r="C1397">
            <v>7</v>
          </cell>
          <cell r="D1397" t="str">
            <v xml:space="preserve"> PPN diperhitungkan pada lembar Rekapitulasi Biaya Pekerjaan.</v>
          </cell>
        </row>
      </sheetData>
      <sheetData sheetId="7">
        <row r="4">
          <cell r="B4" t="str">
            <v>DAFTAR</v>
          </cell>
        </row>
        <row r="5">
          <cell r="B5" t="str">
            <v>HARGA SATUAN UPAH</v>
          </cell>
        </row>
        <row r="8">
          <cell r="K8" t="str">
            <v>HARGA</v>
          </cell>
          <cell r="L8" t="str">
            <v>HARGA</v>
          </cell>
        </row>
        <row r="9">
          <cell r="B9" t="str">
            <v>NO.</v>
          </cell>
          <cell r="D9" t="str">
            <v>U R A I A N</v>
          </cell>
          <cell r="I9" t="str">
            <v>SATUAN</v>
          </cell>
          <cell r="K9" t="str">
            <v>SATUAN</v>
          </cell>
          <cell r="L9" t="str">
            <v>SATUAN</v>
          </cell>
          <cell r="M9" t="str">
            <v>KET</v>
          </cell>
        </row>
        <row r="10">
          <cell r="K10" t="str">
            <v>( Rp./ Jam )</v>
          </cell>
          <cell r="L10" t="str">
            <v>( Rp./ Hari )</v>
          </cell>
        </row>
        <row r="12">
          <cell r="B12" t="str">
            <v>A.</v>
          </cell>
          <cell r="E12" t="str">
            <v>TENAGA KERJA</v>
          </cell>
        </row>
        <row r="13">
          <cell r="B13">
            <v>1</v>
          </cell>
          <cell r="E13" t="str">
            <v>Mandor</v>
          </cell>
          <cell r="I13" t="str">
            <v>Jam</v>
          </cell>
          <cell r="K13">
            <v>6500</v>
          </cell>
          <cell r="L13">
            <v>45500</v>
          </cell>
        </row>
        <row r="15">
          <cell r="B15">
            <v>2</v>
          </cell>
          <cell r="E15" t="str">
            <v>Tukang</v>
          </cell>
          <cell r="I15" t="str">
            <v>Jam</v>
          </cell>
          <cell r="K15">
            <v>7500</v>
          </cell>
          <cell r="L15">
            <v>52500</v>
          </cell>
        </row>
        <row r="17">
          <cell r="B17">
            <v>3</v>
          </cell>
          <cell r="E17" t="str">
            <v>Pekerja</v>
          </cell>
          <cell r="I17" t="str">
            <v>Jam</v>
          </cell>
          <cell r="K17">
            <v>6000</v>
          </cell>
          <cell r="L17">
            <v>42000</v>
          </cell>
        </row>
        <row r="19">
          <cell r="B19">
            <v>4</v>
          </cell>
          <cell r="E19" t="str">
            <v>Operator / Supir</v>
          </cell>
          <cell r="I19" t="str">
            <v>Jam</v>
          </cell>
          <cell r="K19">
            <v>10750</v>
          </cell>
          <cell r="L19">
            <v>75250</v>
          </cell>
        </row>
        <row r="21">
          <cell r="B21">
            <v>5</v>
          </cell>
          <cell r="E21" t="str">
            <v>Pembantu Operator / Pembantu Supir</v>
          </cell>
          <cell r="I21" t="str">
            <v>Jam</v>
          </cell>
          <cell r="K21">
            <v>4500</v>
          </cell>
          <cell r="L21">
            <v>31500</v>
          </cell>
        </row>
        <row r="23">
          <cell r="B23">
            <v>6</v>
          </cell>
          <cell r="E23" t="str">
            <v>Mekanik</v>
          </cell>
          <cell r="I23" t="str">
            <v>Jam</v>
          </cell>
          <cell r="K23">
            <v>7500</v>
          </cell>
          <cell r="L23">
            <v>52500</v>
          </cell>
        </row>
        <row r="25">
          <cell r="B25">
            <v>7</v>
          </cell>
          <cell r="E25" t="str">
            <v>Pembantu Mekanik</v>
          </cell>
          <cell r="I25" t="str">
            <v>Jam</v>
          </cell>
          <cell r="K25">
            <v>4500</v>
          </cell>
          <cell r="L25">
            <v>31500</v>
          </cell>
        </row>
        <row r="30">
          <cell r="K30" t="str">
            <v>TAKENGON, 24 AGUSTUS 2006</v>
          </cell>
        </row>
        <row r="31">
          <cell r="K31" t="str">
            <v>PT. GAYOTAMA LEOPROPITA</v>
          </cell>
        </row>
        <row r="37">
          <cell r="K37" t="str">
            <v>Ir.  CHAIRIL  ANWAR</v>
          </cell>
        </row>
        <row r="38">
          <cell r="K38" t="str">
            <v>DIREKTUR UTAMA</v>
          </cell>
        </row>
        <row r="42">
          <cell r="B42" t="str">
            <v>LAMPIRAN 3b PENAWARAN</v>
          </cell>
        </row>
        <row r="44">
          <cell r="B44" t="str">
            <v>DAFTAR</v>
          </cell>
        </row>
        <row r="45">
          <cell r="B45" t="str">
            <v>HARGA SATUAN BAHAN</v>
          </cell>
        </row>
        <row r="47">
          <cell r="K47" t="str">
            <v>HARGA</v>
          </cell>
        </row>
        <row r="48">
          <cell r="B48" t="str">
            <v>NO.</v>
          </cell>
          <cell r="D48" t="str">
            <v>U R A I A N</v>
          </cell>
          <cell r="I48" t="str">
            <v>SATUAN</v>
          </cell>
          <cell r="K48" t="str">
            <v>SATUAN</v>
          </cell>
          <cell r="L48" t="str">
            <v>KETERANGAN</v>
          </cell>
        </row>
        <row r="49">
          <cell r="K49" t="str">
            <v>( Rp.)</v>
          </cell>
        </row>
        <row r="51">
          <cell r="B51">
            <v>1</v>
          </cell>
          <cell r="E51" t="str">
            <v>Agregat Kasar untuk Base</v>
          </cell>
          <cell r="I51" t="str">
            <v>M3</v>
          </cell>
          <cell r="K51">
            <v>49987.032766628763</v>
          </cell>
          <cell r="L51" t="str">
            <v>Base Camp II (Genting Gerbang)</v>
          </cell>
        </row>
        <row r="52">
          <cell r="B52">
            <v>2</v>
          </cell>
          <cell r="E52" t="str">
            <v>Agregate Halus untuk Base</v>
          </cell>
          <cell r="I52" t="str">
            <v>M3</v>
          </cell>
          <cell r="K52">
            <v>47646.859498566191</v>
          </cell>
          <cell r="L52" t="str">
            <v>Base Camp II (Genting Gerbang)</v>
          </cell>
        </row>
        <row r="53">
          <cell r="B53">
            <v>3</v>
          </cell>
          <cell r="E53" t="str">
            <v>Agregat Kasar untuk Laston (AC-BC)</v>
          </cell>
          <cell r="I53" t="str">
            <v>M3</v>
          </cell>
          <cell r="K53">
            <v>67390.249260881523</v>
          </cell>
          <cell r="L53" t="str">
            <v>Base Camp I (Jamur Ujung)</v>
          </cell>
        </row>
        <row r="54">
          <cell r="B54">
            <v>4</v>
          </cell>
          <cell r="E54" t="str">
            <v>Agregat Halus untuk Laston (AC-BC)</v>
          </cell>
          <cell r="I54" t="str">
            <v>M3</v>
          </cell>
          <cell r="K54">
            <v>64734.950234163334</v>
          </cell>
          <cell r="L54" t="str">
            <v>Base Camp I (Jamur Ujung)</v>
          </cell>
        </row>
        <row r="55">
          <cell r="B55">
            <v>5</v>
          </cell>
          <cell r="E55" t="str">
            <v>Agregat Kelas C</v>
          </cell>
          <cell r="I55" t="str">
            <v>M4</v>
          </cell>
          <cell r="K55">
            <v>24000</v>
          </cell>
          <cell r="L55" t="str">
            <v>Base Camp II (Genting Gerbang)</v>
          </cell>
        </row>
        <row r="56">
          <cell r="B56">
            <v>6</v>
          </cell>
          <cell r="E56" t="str">
            <v>Aspal</v>
          </cell>
          <cell r="I56" t="str">
            <v>Kg</v>
          </cell>
          <cell r="K56">
            <v>4650</v>
          </cell>
          <cell r="L56" t="str">
            <v>Base Camp I (Jamur Ujung)</v>
          </cell>
        </row>
        <row r="57">
          <cell r="B57">
            <v>7</v>
          </cell>
          <cell r="E57" t="str">
            <v>Baja Tulangan</v>
          </cell>
          <cell r="I57" t="str">
            <v>Kg</v>
          </cell>
          <cell r="K57">
            <v>8500</v>
          </cell>
          <cell r="L57" t="str">
            <v>Lokasi Pekerjaan</v>
          </cell>
        </row>
        <row r="58">
          <cell r="B58">
            <v>8</v>
          </cell>
          <cell r="E58" t="str">
            <v>Batu Kali / Batu Gunung</v>
          </cell>
          <cell r="I58" t="str">
            <v>M3</v>
          </cell>
          <cell r="K58">
            <v>44400</v>
          </cell>
          <cell r="L58" t="str">
            <v>Base Camp II (Genting Gerbang)</v>
          </cell>
        </row>
        <row r="59">
          <cell r="B59">
            <v>9</v>
          </cell>
          <cell r="E59" t="str">
            <v>Filler</v>
          </cell>
          <cell r="I59" t="str">
            <v>Kg</v>
          </cell>
          <cell r="K59">
            <v>500</v>
          </cell>
          <cell r="L59" t="str">
            <v>Lokasi Pekerjaan</v>
          </cell>
        </row>
        <row r="60">
          <cell r="B60">
            <v>10</v>
          </cell>
          <cell r="E60" t="str">
            <v>Kawat Beton</v>
          </cell>
          <cell r="I60" t="str">
            <v>Kg</v>
          </cell>
          <cell r="K60">
            <v>10000</v>
          </cell>
          <cell r="L60" t="str">
            <v>Lokasi Pekerjaan</v>
          </cell>
        </row>
        <row r="61">
          <cell r="B61">
            <v>11</v>
          </cell>
          <cell r="E61" t="str">
            <v>Kawat Bronjong</v>
          </cell>
          <cell r="I61" t="str">
            <v>Kg</v>
          </cell>
          <cell r="K61">
            <v>15000</v>
          </cell>
          <cell r="L61" t="str">
            <v>Lokasi Pekerjaan</v>
          </cell>
        </row>
        <row r="62">
          <cell r="B62">
            <v>12</v>
          </cell>
          <cell r="E62" t="str">
            <v>Kayu Perancah/Bekisting</v>
          </cell>
          <cell r="I62" t="str">
            <v>M3</v>
          </cell>
          <cell r="K62">
            <v>1500000</v>
          </cell>
          <cell r="L62" t="str">
            <v>Lokasi Pekerjaan</v>
          </cell>
        </row>
        <row r="63">
          <cell r="B63">
            <v>13</v>
          </cell>
          <cell r="E63" t="str">
            <v>Kayu Jembatan</v>
          </cell>
          <cell r="I63" t="str">
            <v>M3</v>
          </cell>
          <cell r="K63">
            <v>2500000</v>
          </cell>
          <cell r="L63" t="str">
            <v>Lokasi Pekerjaan</v>
          </cell>
        </row>
        <row r="64">
          <cell r="B64">
            <v>14</v>
          </cell>
          <cell r="E64" t="str">
            <v>Kerikil</v>
          </cell>
          <cell r="I64" t="str">
            <v>M3</v>
          </cell>
          <cell r="K64">
            <v>24000</v>
          </cell>
          <cell r="L64" t="str">
            <v>Lokasi Pekerjaan</v>
          </cell>
        </row>
        <row r="65">
          <cell r="B65">
            <v>15</v>
          </cell>
          <cell r="E65" t="str">
            <v>Kerosene</v>
          </cell>
          <cell r="I65" t="str">
            <v>Liter</v>
          </cell>
          <cell r="K65">
            <v>3000</v>
          </cell>
          <cell r="L65" t="str">
            <v>Base Camp II (Genting Gerbang)</v>
          </cell>
        </row>
        <row r="66">
          <cell r="B66">
            <v>16</v>
          </cell>
          <cell r="E66" t="str">
            <v>Material Timbunan Biasa</v>
          </cell>
          <cell r="I66" t="str">
            <v>M3</v>
          </cell>
          <cell r="K66">
            <v>20000</v>
          </cell>
          <cell r="L66" t="str">
            <v>Borofit</v>
          </cell>
        </row>
        <row r="67">
          <cell r="B67">
            <v>17</v>
          </cell>
          <cell r="E67" t="str">
            <v>Material Timbunan Pilihan</v>
          </cell>
          <cell r="I67" t="str">
            <v>M3</v>
          </cell>
          <cell r="K67">
            <v>24000</v>
          </cell>
          <cell r="L67" t="str">
            <v>Base Camp II (Genting Gerbang)</v>
          </cell>
        </row>
        <row r="68">
          <cell r="B68">
            <v>18</v>
          </cell>
          <cell r="E68" t="str">
            <v>Material Porous</v>
          </cell>
          <cell r="I68" t="str">
            <v>M3</v>
          </cell>
          <cell r="K68">
            <v>29000</v>
          </cell>
          <cell r="L68" t="str">
            <v>Base Camp II (Genting Gerbang)</v>
          </cell>
        </row>
        <row r="69">
          <cell r="B69">
            <v>19</v>
          </cell>
          <cell r="E69" t="str">
            <v>Paku</v>
          </cell>
          <cell r="I69" t="str">
            <v>Kg</v>
          </cell>
          <cell r="K69">
            <v>15000</v>
          </cell>
          <cell r="L69" t="str">
            <v>Lokasi Pekerjaan</v>
          </cell>
        </row>
        <row r="70">
          <cell r="B70">
            <v>20</v>
          </cell>
          <cell r="E70" t="str">
            <v>Pasir Beton</v>
          </cell>
          <cell r="I70" t="str">
            <v>M3</v>
          </cell>
          <cell r="K70">
            <v>18900</v>
          </cell>
          <cell r="L70" t="str">
            <v>Base Camp II (Genting Gerbang)</v>
          </cell>
        </row>
        <row r="71">
          <cell r="B71">
            <v>21</v>
          </cell>
          <cell r="E71" t="str">
            <v>Pasir Pasang</v>
          </cell>
          <cell r="I71" t="str">
            <v>M3</v>
          </cell>
          <cell r="K71">
            <v>18900</v>
          </cell>
          <cell r="L71" t="str">
            <v>Base Camp II (Genting Gerbang)</v>
          </cell>
        </row>
        <row r="72">
          <cell r="B72">
            <v>22</v>
          </cell>
          <cell r="E72" t="str">
            <v>S i r t u</v>
          </cell>
          <cell r="I72" t="str">
            <v>M3</v>
          </cell>
          <cell r="K72">
            <v>32000</v>
          </cell>
          <cell r="L72" t="str">
            <v>Base Camp I (Jamur Ujung)</v>
          </cell>
        </row>
        <row r="73">
          <cell r="B73">
            <v>22</v>
          </cell>
          <cell r="E73" t="str">
            <v>S i r t u</v>
          </cell>
          <cell r="I73" t="str">
            <v>M3</v>
          </cell>
          <cell r="K73">
            <v>24000</v>
          </cell>
          <cell r="L73" t="str">
            <v>Base Camp II (Genting Gerbang)</v>
          </cell>
        </row>
        <row r="74">
          <cell r="B74">
            <v>23</v>
          </cell>
          <cell r="E74" t="str">
            <v>Semen (PC)</v>
          </cell>
          <cell r="I74" t="str">
            <v>Kg</v>
          </cell>
          <cell r="K74">
            <v>1000</v>
          </cell>
          <cell r="L74" t="str">
            <v>Base Camp II (Genting Gerbang)</v>
          </cell>
        </row>
        <row r="75">
          <cell r="B75">
            <v>24</v>
          </cell>
          <cell r="E75" t="str">
            <v>Pipa Baja Dia. 3"</v>
          </cell>
          <cell r="I75" t="str">
            <v>M1</v>
          </cell>
          <cell r="K75">
            <v>200000</v>
          </cell>
          <cell r="L75" t="str">
            <v>Base Camp II (Genting Gerbang)</v>
          </cell>
        </row>
        <row r="76">
          <cell r="B76">
            <v>25</v>
          </cell>
          <cell r="E76" t="str">
            <v>Pipa Baja Gelobang</v>
          </cell>
          <cell r="I76" t="str">
            <v>Kg</v>
          </cell>
          <cell r="K76">
            <v>12000</v>
          </cell>
          <cell r="L76" t="str">
            <v>Lokasi Pekerjaan</v>
          </cell>
        </row>
        <row r="77">
          <cell r="B77">
            <v>26</v>
          </cell>
          <cell r="E77" t="str">
            <v>Bensin</v>
          </cell>
          <cell r="I77" t="str">
            <v>Liter</v>
          </cell>
          <cell r="K77">
            <v>4500</v>
          </cell>
          <cell r="L77" t="str">
            <v>Pertamina</v>
          </cell>
        </row>
        <row r="78">
          <cell r="B78">
            <v>27</v>
          </cell>
          <cell r="E78" t="str">
            <v>Solar</v>
          </cell>
          <cell r="I78" t="str">
            <v>Liter</v>
          </cell>
          <cell r="K78">
            <v>4300</v>
          </cell>
          <cell r="L78" t="str">
            <v>Pertamina</v>
          </cell>
        </row>
        <row r="79">
          <cell r="B79">
            <v>28</v>
          </cell>
          <cell r="E79" t="str">
            <v>Minyak Pelumas/Oli</v>
          </cell>
          <cell r="I79" t="str">
            <v>Liter</v>
          </cell>
          <cell r="K79">
            <v>30000</v>
          </cell>
          <cell r="L79" t="str">
            <v>Base Camp I &amp; II</v>
          </cell>
        </row>
        <row r="80">
          <cell r="B80">
            <v>29</v>
          </cell>
          <cell r="E80" t="str">
            <v>Cat Marka</v>
          </cell>
          <cell r="I80" t="str">
            <v>Liter</v>
          </cell>
          <cell r="K80">
            <v>50000</v>
          </cell>
          <cell r="L80" t="str">
            <v>Lokasi Pekerjaan</v>
          </cell>
        </row>
        <row r="81">
          <cell r="B81">
            <v>30</v>
          </cell>
          <cell r="E81" t="str">
            <v>Thinner</v>
          </cell>
          <cell r="I81" t="str">
            <v>Kg</v>
          </cell>
          <cell r="K81">
            <v>17000</v>
          </cell>
          <cell r="L81" t="str">
            <v>Lokasi Pekerjaan</v>
          </cell>
        </row>
        <row r="82">
          <cell r="B82">
            <v>31</v>
          </cell>
          <cell r="E82" t="str">
            <v>Blass Bit</v>
          </cell>
          <cell r="I82" t="str">
            <v>Liter</v>
          </cell>
          <cell r="K82">
            <v>40000</v>
          </cell>
          <cell r="L82" t="str">
            <v>Lokasi Pekerjaan</v>
          </cell>
        </row>
        <row r="87">
          <cell r="K87" t="str">
            <v>TAKENGON, 24 AGUSTUS 2006</v>
          </cell>
        </row>
        <row r="88">
          <cell r="K88" t="str">
            <v>PT. GAYOTAMA LEOPROPITA</v>
          </cell>
        </row>
        <row r="94">
          <cell r="K94" t="str">
            <v>Ir.  CHAIRIL  ANWAR</v>
          </cell>
        </row>
        <row r="95">
          <cell r="K95" t="str">
            <v>DIREKTUR UTAMA</v>
          </cell>
        </row>
        <row r="98">
          <cell r="B98" t="str">
            <v>LAMPIRAN 3c PENAWARAN</v>
          </cell>
        </row>
        <row r="100">
          <cell r="B100" t="str">
            <v>DAFTAR</v>
          </cell>
        </row>
        <row r="101">
          <cell r="B101" t="str">
            <v>HARGA DASAR SATUAN ALAT</v>
          </cell>
        </row>
        <row r="103">
          <cell r="K103" t="str">
            <v>HARGA</v>
          </cell>
        </row>
        <row r="104">
          <cell r="B104" t="str">
            <v>NO.</v>
          </cell>
          <cell r="D104" t="str">
            <v>U R A I A N</v>
          </cell>
          <cell r="I104" t="str">
            <v>SATUAN</v>
          </cell>
          <cell r="K104" t="str">
            <v>SATUAN</v>
          </cell>
          <cell r="L104" t="str">
            <v>KETERANGAN</v>
          </cell>
        </row>
        <row r="105">
          <cell r="K105" t="str">
            <v>( Rp.)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FE"/>
      <sheetName val="PE"/>
      <sheetName val="E-F"/>
      <sheetName val="MFC"/>
      <sheetName val="WC1"/>
      <sheetName val="WC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AFTAR"/>
      <sheetName val="ANALIS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(2)"/>
      <sheetName val="REKAP"/>
      <sheetName val="RAB"/>
      <sheetName val="DAFTAR"/>
      <sheetName val="ANALIS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AH (2)"/>
      <sheetName val="COVER"/>
      <sheetName val="COV TAWAR"/>
      <sheetName val="REKAP"/>
      <sheetName val="RAB"/>
      <sheetName val="ANALISA"/>
      <sheetName val="UPAH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KAP"/>
      <sheetName val="RAB"/>
      <sheetName val="ANALISA"/>
      <sheetName val="DAFTAR"/>
      <sheetName val="Sheet1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"/>
      <sheetName val="REKAP"/>
      <sheetName val="RAB"/>
      <sheetName val="ANALISA"/>
      <sheetName val="DAFTA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ANALISA"/>
      <sheetName val="DAFTAR"/>
    </sheetNames>
    <sheetDataSet>
      <sheetData sheetId="0"/>
      <sheetData sheetId="1"/>
      <sheetData sheetId="2" refreshError="1">
        <row r="116">
          <cell r="G116">
            <v>3618245</v>
          </cell>
        </row>
      </sheetData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l"/>
      <sheetName val="Rekap"/>
      <sheetName val="Jbt"/>
      <sheetName val="An.BOW"/>
      <sheetName val="An. HS"/>
      <sheetName val="BOW"/>
      <sheetName val="Upah 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Kuantitas_&amp;_Harga"/>
      <sheetName val="Lamp_Upah&amp;Biaya"/>
      <sheetName val="Lamp_ABiaya"/>
      <sheetName val="Sket_Jrk_Angkut"/>
      <sheetName val="Rekap_Biaya1"/>
      <sheetName val="Kuantitas_&amp;_Harga1"/>
      <sheetName val="Lamp_Upah&amp;Biaya1"/>
      <sheetName val="Lamp_ABiaya1"/>
      <sheetName val="Sket_Jrk_Angkut1"/>
      <sheetName val="Rekap_Biaya2"/>
      <sheetName val="Kuantitas_&amp;_Harga2"/>
      <sheetName val="Lamp_Upah&amp;Biaya2"/>
      <sheetName val="Lamp_ABiaya2"/>
      <sheetName val="Sket_Jrk_Angkut2"/>
      <sheetName val="Rekap_Biaya3"/>
      <sheetName val="Kuantitas_&amp;_Harga3"/>
      <sheetName val="Lamp_Upah&amp;Biaya3"/>
      <sheetName val="Lamp_ABiaya3"/>
      <sheetName val="Sket_Jrk_Angku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0">
          <cell r="A40">
            <v>1</v>
          </cell>
        </row>
        <row r="41">
          <cell r="A41">
            <v>2</v>
          </cell>
          <cell r="C41">
            <v>30000</v>
          </cell>
        </row>
        <row r="42">
          <cell r="A42">
            <v>3</v>
          </cell>
          <cell r="C42">
            <v>32500</v>
          </cell>
        </row>
        <row r="43">
          <cell r="A43">
            <v>4</v>
          </cell>
          <cell r="C43">
            <v>57500</v>
          </cell>
        </row>
        <row r="44">
          <cell r="A44">
            <v>5</v>
          </cell>
          <cell r="C44">
            <v>33000</v>
          </cell>
        </row>
        <row r="45">
          <cell r="A45">
            <v>6</v>
          </cell>
        </row>
        <row r="46">
          <cell r="A46">
            <v>7</v>
          </cell>
        </row>
        <row r="47">
          <cell r="A47">
            <v>8</v>
          </cell>
          <cell r="C47">
            <v>60000</v>
          </cell>
        </row>
        <row r="48">
          <cell r="A48">
            <v>9</v>
          </cell>
        </row>
        <row r="49">
          <cell r="A49">
            <v>10</v>
          </cell>
        </row>
        <row r="50">
          <cell r="A50">
            <v>11</v>
          </cell>
        </row>
        <row r="51">
          <cell r="A51">
            <v>12</v>
          </cell>
          <cell r="C51">
            <v>135000</v>
          </cell>
        </row>
        <row r="52">
          <cell r="A52">
            <v>13</v>
          </cell>
          <cell r="C52">
            <v>60000</v>
          </cell>
        </row>
        <row r="53">
          <cell r="A53">
            <v>14</v>
          </cell>
        </row>
        <row r="54">
          <cell r="A54">
            <v>15</v>
          </cell>
          <cell r="C54">
            <v>426178</v>
          </cell>
        </row>
        <row r="55">
          <cell r="A55">
            <v>16</v>
          </cell>
          <cell r="C55">
            <v>456659</v>
          </cell>
        </row>
        <row r="56">
          <cell r="A56">
            <v>17</v>
          </cell>
        </row>
        <row r="57">
          <cell r="A57">
            <v>18</v>
          </cell>
        </row>
        <row r="58">
          <cell r="A58">
            <v>19</v>
          </cell>
        </row>
        <row r="59">
          <cell r="A59">
            <v>20</v>
          </cell>
        </row>
        <row r="60">
          <cell r="A60">
            <v>21</v>
          </cell>
        </row>
        <row r="61">
          <cell r="A61">
            <v>22</v>
          </cell>
          <cell r="C61">
            <v>8900</v>
          </cell>
        </row>
        <row r="62">
          <cell r="A62">
            <v>23</v>
          </cell>
          <cell r="C62">
            <v>29000</v>
          </cell>
        </row>
        <row r="63">
          <cell r="A63">
            <v>24</v>
          </cell>
        </row>
        <row r="64">
          <cell r="A64">
            <v>25</v>
          </cell>
        </row>
        <row r="65">
          <cell r="A65">
            <v>26</v>
          </cell>
        </row>
        <row r="66">
          <cell r="A66">
            <v>27</v>
          </cell>
        </row>
        <row r="67">
          <cell r="A67">
            <v>28</v>
          </cell>
        </row>
        <row r="68">
          <cell r="A68">
            <v>29</v>
          </cell>
        </row>
        <row r="69">
          <cell r="A69">
            <v>30</v>
          </cell>
        </row>
        <row r="70">
          <cell r="A70">
            <v>31</v>
          </cell>
        </row>
        <row r="71">
          <cell r="A71">
            <v>32</v>
          </cell>
        </row>
        <row r="72">
          <cell r="A72">
            <v>33</v>
          </cell>
        </row>
        <row r="73">
          <cell r="A73">
            <v>34</v>
          </cell>
        </row>
        <row r="74">
          <cell r="A74">
            <v>35</v>
          </cell>
        </row>
        <row r="75">
          <cell r="A75">
            <v>36</v>
          </cell>
        </row>
        <row r="76">
          <cell r="A76">
            <v>37</v>
          </cell>
        </row>
        <row r="77">
          <cell r="A77">
            <v>38</v>
          </cell>
        </row>
        <row r="78">
          <cell r="A78">
            <v>39</v>
          </cell>
        </row>
        <row r="79">
          <cell r="A79">
            <v>40</v>
          </cell>
        </row>
        <row r="80">
          <cell r="A80">
            <v>41</v>
          </cell>
        </row>
        <row r="81">
          <cell r="A81">
            <v>42</v>
          </cell>
        </row>
        <row r="82">
          <cell r="A82">
            <v>43</v>
          </cell>
        </row>
        <row r="83">
          <cell r="A83">
            <v>44</v>
          </cell>
          <cell r="C83">
            <v>3679</v>
          </cell>
        </row>
        <row r="84">
          <cell r="A84">
            <v>45</v>
          </cell>
        </row>
        <row r="85">
          <cell r="A85">
            <v>46</v>
          </cell>
        </row>
        <row r="86">
          <cell r="A86">
            <v>47</v>
          </cell>
        </row>
        <row r="87">
          <cell r="A87">
            <v>48</v>
          </cell>
        </row>
        <row r="88">
          <cell r="A88">
            <v>49</v>
          </cell>
        </row>
        <row r="89">
          <cell r="A89">
            <v>50</v>
          </cell>
        </row>
        <row r="90">
          <cell r="A90">
            <v>51</v>
          </cell>
          <cell r="C90">
            <v>990</v>
          </cell>
        </row>
        <row r="91">
          <cell r="A91">
            <v>52</v>
          </cell>
        </row>
        <row r="92">
          <cell r="A92">
            <v>53</v>
          </cell>
        </row>
        <row r="93">
          <cell r="A93">
            <v>54</v>
          </cell>
        </row>
        <row r="94">
          <cell r="A94">
            <v>55</v>
          </cell>
        </row>
        <row r="95">
          <cell r="A95">
            <v>56</v>
          </cell>
        </row>
        <row r="96">
          <cell r="A96">
            <v>57</v>
          </cell>
        </row>
        <row r="97">
          <cell r="A97">
            <v>58</v>
          </cell>
        </row>
        <row r="98">
          <cell r="A98">
            <v>59</v>
          </cell>
        </row>
        <row r="99">
          <cell r="A99">
            <v>60</v>
          </cell>
        </row>
        <row r="100">
          <cell r="A100">
            <v>61</v>
          </cell>
        </row>
        <row r="101">
          <cell r="A101">
            <v>62</v>
          </cell>
        </row>
        <row r="102">
          <cell r="A102">
            <v>63</v>
          </cell>
        </row>
        <row r="103">
          <cell r="A103">
            <v>64</v>
          </cell>
        </row>
        <row r="104">
          <cell r="A104">
            <v>65</v>
          </cell>
        </row>
        <row r="105">
          <cell r="A105">
            <v>66</v>
          </cell>
        </row>
        <row r="106">
          <cell r="A106">
            <v>67</v>
          </cell>
        </row>
        <row r="107">
          <cell r="A107">
            <v>68</v>
          </cell>
        </row>
        <row r="108">
          <cell r="A108">
            <v>69</v>
          </cell>
        </row>
        <row r="109">
          <cell r="A109">
            <v>70</v>
          </cell>
        </row>
        <row r="110">
          <cell r="A110">
            <v>71</v>
          </cell>
        </row>
        <row r="111">
          <cell r="A111">
            <v>72</v>
          </cell>
        </row>
        <row r="112">
          <cell r="A112">
            <v>73</v>
          </cell>
        </row>
        <row r="113">
          <cell r="A113">
            <v>74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765">
          <cell r="U765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933">
          <cell r="U933" t="e">
            <v>#REF!</v>
          </cell>
        </row>
        <row r="989">
          <cell r="U989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SKS"/>
      <sheetName val="Analisa"/>
      <sheetName val="DU&amp;B"/>
      <sheetName val="a_alat"/>
      <sheetName val="Analisa Alat"/>
      <sheetName val="Alat"/>
      <sheetName val="Sampul"/>
      <sheetName val="Surat Penawaran"/>
      <sheetName val="Metoda"/>
      <sheetName val="jadw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_AHS"/>
      <sheetName val="Rab"/>
      <sheetName val="per_alat"/>
      <sheetName val="SCHEDULE"/>
      <sheetName val="Kop_Log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NAMA"/>
      <sheetName val="COVER"/>
      <sheetName val="COV TAWAR"/>
      <sheetName val="REKAP"/>
      <sheetName val="RAB"/>
      <sheetName val="ANALISA"/>
      <sheetName val="UPAH"/>
      <sheetName val="UPAH (2)"/>
      <sheetName val="DATA"/>
      <sheetName val="Anal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2">
          <cell r="D22">
            <v>400</v>
          </cell>
        </row>
        <row r="34">
          <cell r="D34">
            <v>66100</v>
          </cell>
        </row>
        <row r="36">
          <cell r="D36">
            <v>31500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 = 150"/>
      <sheetName val="Analisa"/>
      <sheetName val="DU&amp;B"/>
    </sheetNames>
    <sheetDataSet>
      <sheetData sheetId="0"/>
      <sheetData sheetId="1"/>
      <sheetData sheetId="2">
        <row r="27">
          <cell r="F27">
            <v>5000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itulasi SKS"/>
      <sheetName val="Rekapitulasi"/>
      <sheetName val="Kuantitas"/>
      <sheetName val="Analisa"/>
      <sheetName val="DU&amp;B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F8">
            <v>26000</v>
          </cell>
        </row>
        <row r="9">
          <cell r="F9">
            <v>25000</v>
          </cell>
        </row>
        <row r="10">
          <cell r="F10">
            <v>35000</v>
          </cell>
        </row>
        <row r="11">
          <cell r="F11">
            <v>45000</v>
          </cell>
        </row>
        <row r="13">
          <cell r="F13">
            <v>40000</v>
          </cell>
        </row>
        <row r="16">
          <cell r="F16">
            <v>87500</v>
          </cell>
        </row>
        <row r="17">
          <cell r="F17">
            <v>315000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>
        <row r="13">
          <cell r="B13" t="str">
            <v>A</v>
          </cell>
          <cell r="E13" t="str">
            <v>GENERAL</v>
          </cell>
        </row>
        <row r="14">
          <cell r="B14" t="str">
            <v>A1</v>
          </cell>
          <cell r="E14" t="str">
            <v>MOBILIZATION and DEMOBILIZATION</v>
          </cell>
          <cell r="F14" t="str">
            <v>ls</v>
          </cell>
          <cell r="G14">
            <v>1</v>
          </cell>
          <cell r="H14">
            <v>169855758</v>
          </cell>
          <cell r="I14">
            <v>169855758</v>
          </cell>
          <cell r="J14" t="str">
            <v>GS.6.03</v>
          </cell>
        </row>
        <row r="15">
          <cell r="B15" t="str">
            <v>A2</v>
          </cell>
          <cell r="E15" t="str">
            <v>ESTABLISTMENT (')</v>
          </cell>
          <cell r="F15" t="str">
            <v>ls</v>
          </cell>
          <cell r="G15">
            <v>1</v>
          </cell>
          <cell r="H15">
            <v>3152995400</v>
          </cell>
          <cell r="I15">
            <v>3152995400</v>
          </cell>
          <cell r="J15" t="str">
            <v>GS.7.02</v>
          </cell>
        </row>
        <row r="16">
          <cell r="B16" t="str">
            <v>A3</v>
          </cell>
          <cell r="E16" t="str">
            <v>RELOCATION of EXISTING FACILITIES</v>
          </cell>
          <cell r="F16" t="str">
            <v>ls</v>
          </cell>
          <cell r="G16">
            <v>1</v>
          </cell>
          <cell r="H16">
            <v>13322020</v>
          </cell>
          <cell r="I16">
            <v>13322020</v>
          </cell>
          <cell r="J16" t="str">
            <v>GS.14.04</v>
          </cell>
        </row>
        <row r="17">
          <cell r="B17" t="str">
            <v>A4</v>
          </cell>
          <cell r="E17" t="str">
            <v>GEOLOGICAL INVESTIGATION</v>
          </cell>
        </row>
        <row r="18">
          <cell r="B18" t="str">
            <v>A4.1</v>
          </cell>
          <cell r="E18" t="str">
            <v>Hand Auger</v>
          </cell>
          <cell r="F18" t="str">
            <v>m</v>
          </cell>
          <cell r="G18">
            <v>130</v>
          </cell>
          <cell r="H18">
            <v>159864</v>
          </cell>
          <cell r="I18">
            <v>20782320</v>
          </cell>
          <cell r="J18" t="str">
            <v>GS.9.06</v>
          </cell>
        </row>
        <row r="19">
          <cell r="B19" t="str">
            <v>A4.2</v>
          </cell>
          <cell r="E19" t="str">
            <v>Mechanical Boring</v>
          </cell>
          <cell r="F19" t="str">
            <v>m</v>
          </cell>
          <cell r="G19">
            <v>400</v>
          </cell>
          <cell r="H19">
            <v>266440</v>
          </cell>
          <cell r="I19">
            <v>106576000</v>
          </cell>
          <cell r="J19" t="str">
            <v>GS.9.06</v>
          </cell>
        </row>
        <row r="20">
          <cell r="B20" t="str">
            <v>A4.3</v>
          </cell>
          <cell r="E20" t="str">
            <v>Exploratory Excavation</v>
          </cell>
          <cell r="F20" t="str">
            <v>m³</v>
          </cell>
          <cell r="G20">
            <v>800</v>
          </cell>
          <cell r="H20">
            <v>42791</v>
          </cell>
          <cell r="I20">
            <v>34232800</v>
          </cell>
          <cell r="J20" t="str">
            <v>GS.9.06</v>
          </cell>
        </row>
        <row r="22">
          <cell r="B22" t="str">
            <v>B</v>
          </cell>
          <cell r="E22" t="str">
            <v>CHANNEL and DIKE WORKS</v>
          </cell>
        </row>
        <row r="23">
          <cell r="B23" t="str">
            <v>B1</v>
          </cell>
          <cell r="E23" t="str">
            <v>PREPARATION WORKS</v>
          </cell>
        </row>
        <row r="24">
          <cell r="B24" t="str">
            <v>B1.1</v>
          </cell>
          <cell r="E24" t="str">
            <v>Clearing and Grubbing</v>
          </cell>
          <cell r="F24" t="str">
            <v>m²</v>
          </cell>
          <cell r="G24">
            <v>528000</v>
          </cell>
          <cell r="H24">
            <v>4019</v>
          </cell>
          <cell r="I24">
            <v>2122032000</v>
          </cell>
          <cell r="J24" t="str">
            <v>TS.2.10</v>
          </cell>
        </row>
        <row r="25">
          <cell r="B25" t="str">
            <v>B2</v>
          </cell>
          <cell r="E25" t="str">
            <v xml:space="preserve">CHANNEL EXCAVATION </v>
          </cell>
        </row>
        <row r="26">
          <cell r="B26" t="str">
            <v>B2.1</v>
          </cell>
          <cell r="E26" t="str">
            <v>Excavation (river channel)</v>
          </cell>
          <cell r="F26" t="str">
            <v>m³</v>
          </cell>
          <cell r="G26">
            <v>166200</v>
          </cell>
          <cell r="H26">
            <v>30448</v>
          </cell>
          <cell r="I26">
            <v>5060457600</v>
          </cell>
          <cell r="J26" t="str">
            <v>TS.2.10</v>
          </cell>
        </row>
        <row r="28">
          <cell r="B28" t="str">
            <v>B2.2</v>
          </cell>
          <cell r="E28" t="str">
            <v>Excavation (common)</v>
          </cell>
          <cell r="F28" t="str">
            <v>m³</v>
          </cell>
          <cell r="G28">
            <v>340900</v>
          </cell>
          <cell r="H28">
            <v>15679</v>
          </cell>
          <cell r="I28">
            <v>5344971100</v>
          </cell>
          <cell r="J28" t="str">
            <v>TS.2.10</v>
          </cell>
        </row>
        <row r="30">
          <cell r="B30" t="str">
            <v>B3</v>
          </cell>
          <cell r="E30" t="str">
            <v>EARTH DIKE WORKS</v>
          </cell>
        </row>
        <row r="31">
          <cell r="B31" t="str">
            <v>B3.1</v>
          </cell>
          <cell r="E31" t="str">
            <v>Stripping of top soil</v>
          </cell>
          <cell r="F31" t="str">
            <v>m³</v>
          </cell>
          <cell r="G31">
            <v>61000</v>
          </cell>
          <cell r="H31">
            <v>21302</v>
          </cell>
          <cell r="I31">
            <v>1299422000</v>
          </cell>
          <cell r="J31" t="str">
            <v>TS.2.10</v>
          </cell>
        </row>
        <row r="32">
          <cell r="B32" t="str">
            <v>B3.2</v>
          </cell>
          <cell r="E32" t="str">
            <v>Embankment</v>
          </cell>
          <cell r="F32" t="str">
            <v>m³</v>
          </cell>
          <cell r="G32">
            <v>338000</v>
          </cell>
          <cell r="H32">
            <v>5574</v>
          </cell>
          <cell r="I32">
            <v>1884012000</v>
          </cell>
          <cell r="J32" t="str">
            <v>TS.2.10</v>
          </cell>
        </row>
        <row r="34">
          <cell r="B34" t="str">
            <v>B3.3</v>
          </cell>
          <cell r="E34" t="str">
            <v>Gravel pavement, 200 mm thick</v>
          </cell>
          <cell r="F34" t="str">
            <v>m³</v>
          </cell>
          <cell r="G34">
            <v>9430</v>
          </cell>
          <cell r="H34">
            <v>77757</v>
          </cell>
          <cell r="I34">
            <v>733248510</v>
          </cell>
          <cell r="J34" t="str">
            <v>TS.7.09</v>
          </cell>
        </row>
        <row r="35">
          <cell r="B35" t="str">
            <v>B3.4</v>
          </cell>
          <cell r="E35" t="str">
            <v>Maintenance marker post</v>
          </cell>
          <cell r="F35" t="str">
            <v>nos</v>
          </cell>
          <cell r="G35">
            <v>100</v>
          </cell>
          <cell r="H35">
            <v>165804</v>
          </cell>
          <cell r="I35">
            <v>16580400</v>
          </cell>
          <cell r="J35" t="str">
            <v>TS.12.10</v>
          </cell>
        </row>
        <row r="37">
          <cell r="B37" t="str">
            <v>B4-B5</v>
          </cell>
          <cell r="E37" t="str">
            <v>(Not Applicable)</v>
          </cell>
        </row>
        <row r="39">
          <cell r="B39" t="str">
            <v>B6</v>
          </cell>
          <cell r="E39" t="str">
            <v>FILLING ON RIVER BANK</v>
          </cell>
        </row>
        <row r="40">
          <cell r="B40" t="str">
            <v>B6.1</v>
          </cell>
          <cell r="E40" t="str">
            <v>Soil filling</v>
          </cell>
          <cell r="F40" t="str">
            <v>m³</v>
          </cell>
          <cell r="G40">
            <v>8100</v>
          </cell>
          <cell r="H40">
            <v>5574</v>
          </cell>
          <cell r="I40">
            <v>45149400</v>
          </cell>
          <cell r="J40" t="str">
            <v>TS.2.10</v>
          </cell>
        </row>
        <row r="42">
          <cell r="B42" t="str">
            <v>C</v>
          </cell>
          <cell r="E42" t="str">
            <v xml:space="preserve">SLOPE and RIVERBED PROTECTION WORKS </v>
          </cell>
        </row>
        <row r="43">
          <cell r="B43" t="str">
            <v>C1</v>
          </cell>
          <cell r="E43" t="str">
            <v>PREPARATION WORKS</v>
          </cell>
        </row>
        <row r="44">
          <cell r="B44" t="str">
            <v>C1.1</v>
          </cell>
          <cell r="E44" t="str">
            <v>Coffering and dewatering</v>
          </cell>
          <cell r="F44" t="str">
            <v>ls</v>
          </cell>
          <cell r="G44">
            <v>1</v>
          </cell>
          <cell r="H44">
            <v>59146369</v>
          </cell>
          <cell r="I44">
            <v>59146369</v>
          </cell>
          <cell r="J44" t="str">
            <v>TS.1.04</v>
          </cell>
        </row>
        <row r="45">
          <cell r="B45" t="str">
            <v>C2</v>
          </cell>
          <cell r="E45" t="str">
            <v>SODDING and DIKE</v>
          </cell>
        </row>
        <row r="46">
          <cell r="B46" t="str">
            <v>C2.1</v>
          </cell>
          <cell r="E46" t="str">
            <v>Solid sodding</v>
          </cell>
          <cell r="F46" t="str">
            <v>m²</v>
          </cell>
          <cell r="G46">
            <v>175400</v>
          </cell>
          <cell r="H46">
            <v>6139</v>
          </cell>
          <cell r="I46">
            <v>1076780600</v>
          </cell>
          <cell r="J46" t="str">
            <v>TS.4.14</v>
          </cell>
        </row>
        <row r="47">
          <cell r="B47" t="str">
            <v>C3</v>
          </cell>
          <cell r="E47" t="str">
            <v>REVETMENT - WET STONE MASONRY TYPE (Type-PA and PB)</v>
          </cell>
        </row>
        <row r="48">
          <cell r="B48" t="str">
            <v>C3.1</v>
          </cell>
          <cell r="E48" t="str">
            <v>Excavation (common)</v>
          </cell>
          <cell r="F48" t="str">
            <v>m³</v>
          </cell>
          <cell r="G48">
            <v>7220</v>
          </cell>
          <cell r="H48">
            <v>6921</v>
          </cell>
          <cell r="I48">
            <v>49969620</v>
          </cell>
          <cell r="J48" t="str">
            <v>TS.2.10</v>
          </cell>
        </row>
        <row r="49">
          <cell r="B49" t="str">
            <v>C3.2</v>
          </cell>
          <cell r="E49" t="str">
            <v>Backfill with selected soil</v>
          </cell>
          <cell r="F49" t="str">
            <v>m³</v>
          </cell>
          <cell r="G49">
            <v>110</v>
          </cell>
          <cell r="H49">
            <v>5530</v>
          </cell>
          <cell r="I49">
            <v>608300</v>
          </cell>
          <cell r="J49" t="str">
            <v>TS.2.10</v>
          </cell>
        </row>
        <row r="50">
          <cell r="B50" t="str">
            <v>C3.3</v>
          </cell>
          <cell r="E50" t="str">
            <v>Crusher run bedding</v>
          </cell>
          <cell r="F50" t="str">
            <v>m³</v>
          </cell>
          <cell r="G50">
            <v>2670</v>
          </cell>
          <cell r="H50">
            <v>128530</v>
          </cell>
          <cell r="I50">
            <v>343175100</v>
          </cell>
          <cell r="J50" t="str">
            <v>TS.4.14</v>
          </cell>
        </row>
        <row r="51">
          <cell r="B51" t="str">
            <v>C3.4</v>
          </cell>
          <cell r="E51" t="str">
            <v>Wet stone masonry (1:4) for revetment</v>
          </cell>
          <cell r="F51" t="str">
            <v>m³</v>
          </cell>
          <cell r="G51">
            <v>2680</v>
          </cell>
          <cell r="H51">
            <v>163909</v>
          </cell>
          <cell r="I51">
            <v>439276120</v>
          </cell>
          <cell r="J51" t="str">
            <v>TS.4.14</v>
          </cell>
        </row>
        <row r="52">
          <cell r="B52" t="str">
            <v>C3.5</v>
          </cell>
          <cell r="E52" t="str">
            <v>Cement mortar plastering</v>
          </cell>
          <cell r="F52" t="str">
            <v>m²</v>
          </cell>
          <cell r="G52">
            <v>6330</v>
          </cell>
          <cell r="H52">
            <v>12274</v>
          </cell>
          <cell r="I52">
            <v>77694420</v>
          </cell>
          <cell r="J52" t="str">
            <v>TS.4.14</v>
          </cell>
        </row>
        <row r="53">
          <cell r="B53" t="str">
            <v>C3.6</v>
          </cell>
          <cell r="E53" t="str">
            <v>Concrete, type C1</v>
          </cell>
          <cell r="F53" t="str">
            <v>m³</v>
          </cell>
          <cell r="G53">
            <v>650</v>
          </cell>
          <cell r="H53">
            <v>310964</v>
          </cell>
          <cell r="I53">
            <v>202126600</v>
          </cell>
          <cell r="J53" t="str">
            <v>TS.3.24</v>
          </cell>
        </row>
        <row r="54">
          <cell r="B54" t="str">
            <v>C3.7</v>
          </cell>
          <cell r="E54" t="str">
            <v>Reinforcing steel bar</v>
          </cell>
          <cell r="F54" t="str">
            <v>kg</v>
          </cell>
          <cell r="G54">
            <v>39100</v>
          </cell>
          <cell r="H54">
            <v>3554</v>
          </cell>
          <cell r="I54">
            <v>138961400</v>
          </cell>
          <cell r="J54" t="str">
            <v>TS.3.24</v>
          </cell>
        </row>
        <row r="55">
          <cell r="B55" t="str">
            <v>C3.8</v>
          </cell>
          <cell r="E55" t="str">
            <v>Form work FW1</v>
          </cell>
          <cell r="F55" t="str">
            <v>m²</v>
          </cell>
          <cell r="G55">
            <v>4200</v>
          </cell>
          <cell r="H55">
            <v>70833</v>
          </cell>
          <cell r="I55">
            <v>297498600</v>
          </cell>
          <cell r="J55" t="str">
            <v>TS.3.24</v>
          </cell>
        </row>
        <row r="56">
          <cell r="B56" t="str">
            <v>C3.9</v>
          </cell>
          <cell r="E56" t="str">
            <v>Log pile, dia. 150 mm L = 3.0 m and 2.0 m</v>
          </cell>
          <cell r="F56" t="str">
            <v>m</v>
          </cell>
          <cell r="G56">
            <v>1330</v>
          </cell>
          <cell r="H56">
            <v>7918</v>
          </cell>
          <cell r="I56">
            <v>10530940</v>
          </cell>
          <cell r="J56" t="str">
            <v>TS.5.07</v>
          </cell>
        </row>
        <row r="57">
          <cell r="B57" t="str">
            <v>C3.10</v>
          </cell>
          <cell r="E57" t="str">
            <v>Elastic joint filler, 10 mm thick</v>
          </cell>
          <cell r="F57" t="str">
            <v>m²</v>
          </cell>
          <cell r="G57">
            <v>420</v>
          </cell>
          <cell r="H57">
            <v>107210</v>
          </cell>
          <cell r="I57">
            <v>45028200</v>
          </cell>
          <cell r="J57" t="str">
            <v>TS.3.24</v>
          </cell>
        </row>
        <row r="58">
          <cell r="B58" t="str">
            <v>C3.11</v>
          </cell>
          <cell r="E58" t="str">
            <v>Gabion cylinder</v>
          </cell>
          <cell r="F58" t="str">
            <v>m³</v>
          </cell>
          <cell r="G58">
            <v>390</v>
          </cell>
          <cell r="H58">
            <v>200326</v>
          </cell>
          <cell r="I58">
            <v>78127140</v>
          </cell>
          <cell r="J58" t="str">
            <v>TS.4.14</v>
          </cell>
        </row>
        <row r="59">
          <cell r="B59" t="str">
            <v>C3.12</v>
          </cell>
          <cell r="E59" t="str">
            <v>Cobble stone filling</v>
          </cell>
          <cell r="F59" t="str">
            <v>m³</v>
          </cell>
          <cell r="G59">
            <v>100</v>
          </cell>
          <cell r="H59">
            <v>57655</v>
          </cell>
          <cell r="I59">
            <v>5765500</v>
          </cell>
          <cell r="J59" t="str">
            <v>TS.4.14</v>
          </cell>
        </row>
        <row r="60">
          <cell r="B60" t="str">
            <v>C4</v>
          </cell>
          <cell r="E60" t="str">
            <v>GABION TYPE FOOT PROTECTION</v>
          </cell>
        </row>
        <row r="61">
          <cell r="B61" t="str">
            <v>C4.1</v>
          </cell>
          <cell r="E61" t="str">
            <v>Cobble stone filling</v>
          </cell>
          <cell r="F61" t="str">
            <v>m³</v>
          </cell>
          <cell r="G61">
            <v>120</v>
          </cell>
          <cell r="H61">
            <v>57655</v>
          </cell>
          <cell r="I61">
            <v>6918600</v>
          </cell>
          <cell r="J61" t="str">
            <v>TS.4.14</v>
          </cell>
        </row>
        <row r="62">
          <cell r="B62" t="str">
            <v>C4.2</v>
          </cell>
          <cell r="E62" t="str">
            <v>Gabion mattress</v>
          </cell>
          <cell r="F62" t="str">
            <v>m³</v>
          </cell>
          <cell r="G62">
            <v>820</v>
          </cell>
          <cell r="H62">
            <v>283607</v>
          </cell>
          <cell r="I62">
            <v>232557740</v>
          </cell>
          <cell r="J62" t="str">
            <v>TS.4.14</v>
          </cell>
        </row>
        <row r="63">
          <cell r="B63" t="str">
            <v>C5</v>
          </cell>
          <cell r="E63" t="str">
            <v>REVETMENT - GABION CYLINDER TYPE</v>
          </cell>
        </row>
        <row r="64">
          <cell r="B64" t="str">
            <v>C5.1</v>
          </cell>
          <cell r="E64" t="str">
            <v>Excavation (common)</v>
          </cell>
          <cell r="F64" t="str">
            <v>m³</v>
          </cell>
          <cell r="G64">
            <v>340</v>
          </cell>
          <cell r="H64">
            <v>6921</v>
          </cell>
          <cell r="I64">
            <v>2353140</v>
          </cell>
          <cell r="J64" t="str">
            <v>TS.2.10</v>
          </cell>
        </row>
        <row r="65">
          <cell r="B65" t="str">
            <v>C5.2</v>
          </cell>
          <cell r="E65" t="str">
            <v>Gabion cylinder</v>
          </cell>
          <cell r="F65" t="str">
            <v>m³</v>
          </cell>
          <cell r="G65">
            <v>3010</v>
          </cell>
          <cell r="H65">
            <v>200326</v>
          </cell>
          <cell r="I65">
            <v>602981260</v>
          </cell>
          <cell r="J65" t="str">
            <v>TS.4.14</v>
          </cell>
        </row>
        <row r="66">
          <cell r="B66" t="str">
            <v>C5.3</v>
          </cell>
          <cell r="E66" t="str">
            <v>Cobble stone filling</v>
          </cell>
          <cell r="F66" t="str">
            <v>m³</v>
          </cell>
          <cell r="G66">
            <v>140</v>
          </cell>
          <cell r="H66">
            <v>57655</v>
          </cell>
          <cell r="I66">
            <v>8071700</v>
          </cell>
          <cell r="J66" t="str">
            <v>TS.4.14</v>
          </cell>
        </row>
        <row r="67">
          <cell r="B67" t="str">
            <v>C5.4</v>
          </cell>
          <cell r="E67" t="str">
            <v>Log piles, dia. 150 mm, L =  2.0 m</v>
          </cell>
          <cell r="F67" t="str">
            <v>m</v>
          </cell>
          <cell r="G67">
            <v>2280</v>
          </cell>
          <cell r="H67">
            <v>7918</v>
          </cell>
          <cell r="I67">
            <v>18053040</v>
          </cell>
          <cell r="J67" t="str">
            <v>TS.5.07</v>
          </cell>
        </row>
        <row r="68">
          <cell r="B68" t="str">
            <v>C5.5</v>
          </cell>
          <cell r="E68" t="str">
            <v>Palm fiber filter</v>
          </cell>
          <cell r="F68" t="str">
            <v>m²</v>
          </cell>
          <cell r="G68">
            <v>5430</v>
          </cell>
          <cell r="H68">
            <v>1086</v>
          </cell>
          <cell r="I68">
            <v>5896980</v>
          </cell>
          <cell r="J68" t="str">
            <v>TS.4.14</v>
          </cell>
        </row>
        <row r="70">
          <cell r="B70" t="str">
            <v>C6 - C13</v>
          </cell>
          <cell r="E70" t="str">
            <v>(Not Applicable)</v>
          </cell>
        </row>
        <row r="72">
          <cell r="B72" t="str">
            <v>D</v>
          </cell>
          <cell r="E72" t="str">
            <v>RIPARIAN STRUCTURES</v>
          </cell>
        </row>
        <row r="73">
          <cell r="B73" t="str">
            <v>D1</v>
          </cell>
          <cell r="E73" t="str">
            <v>PREPARATION WORKS for REPARIAN STRUCTURES</v>
          </cell>
        </row>
        <row r="74">
          <cell r="B74" t="str">
            <v>D1.1</v>
          </cell>
          <cell r="E74" t="str">
            <v>Coffering and dewatering</v>
          </cell>
          <cell r="F74" t="str">
            <v>ls</v>
          </cell>
          <cell r="G74">
            <v>1</v>
          </cell>
          <cell r="H74">
            <v>116922339</v>
          </cell>
          <cell r="I74">
            <v>116922339</v>
          </cell>
          <cell r="J74" t="str">
            <v>TS.1.04</v>
          </cell>
        </row>
        <row r="75">
          <cell r="B75" t="str">
            <v>D1.2</v>
          </cell>
          <cell r="E75" t="str">
            <v>Clearing and grubbing</v>
          </cell>
          <cell r="F75" t="str">
            <v>m²</v>
          </cell>
          <cell r="G75">
            <v>550</v>
          </cell>
          <cell r="H75">
            <v>4019</v>
          </cell>
          <cell r="I75">
            <v>2210450</v>
          </cell>
          <cell r="J75" t="str">
            <v>TS.2.10</v>
          </cell>
        </row>
        <row r="76">
          <cell r="B76" t="str">
            <v>D2</v>
          </cell>
          <cell r="E76" t="str">
            <v>GROUND SILL (PE55+00)</v>
          </cell>
        </row>
        <row r="77">
          <cell r="B77" t="str">
            <v>D2.1</v>
          </cell>
          <cell r="E77" t="str">
            <v>Excavation (common)</v>
          </cell>
          <cell r="F77" t="str">
            <v>m³</v>
          </cell>
          <cell r="G77">
            <v>450</v>
          </cell>
          <cell r="H77">
            <v>6921</v>
          </cell>
          <cell r="I77">
            <v>3114450</v>
          </cell>
          <cell r="J77" t="str">
            <v>TS.2.10</v>
          </cell>
        </row>
        <row r="78">
          <cell r="B78" t="str">
            <v>D2.2</v>
          </cell>
          <cell r="E78" t="str">
            <v>Backfill with selected soil</v>
          </cell>
          <cell r="F78" t="str">
            <v>m³</v>
          </cell>
          <cell r="G78">
            <v>80</v>
          </cell>
          <cell r="H78">
            <v>5530</v>
          </cell>
          <cell r="I78">
            <v>442400</v>
          </cell>
          <cell r="J78" t="str">
            <v>TS.2.10</v>
          </cell>
        </row>
        <row r="79">
          <cell r="B79" t="str">
            <v>D2.3</v>
          </cell>
          <cell r="E79" t="str">
            <v>Supply and driving of steel sheet piles, type II</v>
          </cell>
          <cell r="F79" t="str">
            <v>m²</v>
          </cell>
          <cell r="G79">
            <v>130</v>
          </cell>
          <cell r="H79">
            <v>759138</v>
          </cell>
          <cell r="I79">
            <v>98687940</v>
          </cell>
          <cell r="J79" t="str">
            <v>TS.5.07</v>
          </cell>
        </row>
        <row r="80">
          <cell r="B80" t="str">
            <v>D2.4</v>
          </cell>
          <cell r="E80" t="str">
            <v>Supply and driving of PC  piles, dia. 300 mm type A</v>
          </cell>
          <cell r="F80" t="str">
            <v>m</v>
          </cell>
          <cell r="G80">
            <v>320</v>
          </cell>
          <cell r="H80">
            <v>143685</v>
          </cell>
          <cell r="I80">
            <v>45979200</v>
          </cell>
          <cell r="J80" t="str">
            <v>TS.5.07</v>
          </cell>
        </row>
        <row r="81">
          <cell r="B81" t="str">
            <v>D2.5</v>
          </cell>
          <cell r="E81" t="str">
            <v>Concrete, type C1</v>
          </cell>
          <cell r="F81" t="str">
            <v>m³</v>
          </cell>
          <cell r="G81">
            <v>100</v>
          </cell>
          <cell r="H81">
            <v>313783</v>
          </cell>
          <cell r="I81">
            <v>31378300</v>
          </cell>
          <cell r="J81" t="str">
            <v>TS.3.24</v>
          </cell>
        </row>
        <row r="82">
          <cell r="B82" t="str">
            <v>D2.6</v>
          </cell>
          <cell r="E82" t="str">
            <v>Concrete, type E</v>
          </cell>
          <cell r="F82" t="str">
            <v>m³</v>
          </cell>
          <cell r="G82">
            <v>18</v>
          </cell>
          <cell r="H82">
            <v>291125</v>
          </cell>
          <cell r="I82">
            <v>5240250</v>
          </cell>
          <cell r="J82" t="str">
            <v>TS.3.24</v>
          </cell>
        </row>
        <row r="83">
          <cell r="B83" t="str">
            <v>D2.7</v>
          </cell>
          <cell r="E83" t="str">
            <v>Form work FW1</v>
          </cell>
          <cell r="F83" t="str">
            <v>m²</v>
          </cell>
          <cell r="G83">
            <v>79</v>
          </cell>
          <cell r="H83">
            <v>70833</v>
          </cell>
          <cell r="I83">
            <v>5595807</v>
          </cell>
          <cell r="J83" t="str">
            <v>TS.3.24</v>
          </cell>
        </row>
        <row r="84">
          <cell r="B84" t="str">
            <v>D2.8</v>
          </cell>
          <cell r="E84" t="str">
            <v>Reinforcing steel bar</v>
          </cell>
          <cell r="F84" t="str">
            <v>kg</v>
          </cell>
          <cell r="G84">
            <v>92</v>
          </cell>
          <cell r="H84">
            <v>3554</v>
          </cell>
          <cell r="I84">
            <v>326968</v>
          </cell>
          <cell r="J84" t="str">
            <v>TS.3.24</v>
          </cell>
        </row>
        <row r="85">
          <cell r="B85" t="str">
            <v>D2.9</v>
          </cell>
          <cell r="E85" t="str">
            <v>Gabion mattress</v>
          </cell>
          <cell r="F85" t="str">
            <v>m³</v>
          </cell>
          <cell r="G85">
            <v>180</v>
          </cell>
          <cell r="H85">
            <v>283607</v>
          </cell>
          <cell r="I85">
            <v>51049260</v>
          </cell>
          <cell r="J85" t="str">
            <v>TS.4.14</v>
          </cell>
        </row>
        <row r="86">
          <cell r="B86" t="str">
            <v>D3</v>
          </cell>
          <cell r="E86" t="str">
            <v>(Not Applicable)</v>
          </cell>
        </row>
        <row r="87">
          <cell r="B87" t="str">
            <v>D4</v>
          </cell>
          <cell r="E87" t="str">
            <v>APPROACH STEPS, TYPE PA (24 place)</v>
          </cell>
        </row>
        <row r="88">
          <cell r="B88" t="str">
            <v>D4.1</v>
          </cell>
          <cell r="E88" t="str">
            <v>Excavation (common)</v>
          </cell>
          <cell r="F88" t="str">
            <v>m³</v>
          </cell>
          <cell r="G88">
            <v>1810</v>
          </cell>
          <cell r="H88">
            <v>6921</v>
          </cell>
          <cell r="I88">
            <v>12527010</v>
          </cell>
          <cell r="J88" t="str">
            <v>TS.2.10</v>
          </cell>
        </row>
        <row r="89">
          <cell r="B89" t="str">
            <v>D4.2</v>
          </cell>
          <cell r="E89" t="str">
            <v>Backfill with selected soil</v>
          </cell>
          <cell r="F89" t="str">
            <v>m³</v>
          </cell>
          <cell r="G89">
            <v>12</v>
          </cell>
          <cell r="H89">
            <v>5530</v>
          </cell>
          <cell r="I89">
            <v>66360</v>
          </cell>
          <cell r="J89" t="str">
            <v>TS.2.10</v>
          </cell>
        </row>
        <row r="90">
          <cell r="B90" t="str">
            <v>D4.3</v>
          </cell>
          <cell r="E90" t="str">
            <v>Log pile, dia. 150 mm L = 3.0 mm and 2.0 m</v>
          </cell>
          <cell r="F90" t="str">
            <v>m</v>
          </cell>
          <cell r="G90">
            <v>1150</v>
          </cell>
          <cell r="H90">
            <v>7918</v>
          </cell>
          <cell r="I90">
            <v>9105700</v>
          </cell>
          <cell r="J90" t="str">
            <v>TS.5.07</v>
          </cell>
        </row>
        <row r="91">
          <cell r="B91" t="str">
            <v>D4.4</v>
          </cell>
          <cell r="E91" t="str">
            <v>Concrete, type C1</v>
          </cell>
          <cell r="F91" t="str">
            <v>m³</v>
          </cell>
          <cell r="G91">
            <v>29</v>
          </cell>
          <cell r="H91">
            <v>321937</v>
          </cell>
          <cell r="I91">
            <v>9336173</v>
          </cell>
          <cell r="J91" t="str">
            <v>TS.3.24</v>
          </cell>
        </row>
        <row r="92">
          <cell r="B92" t="str">
            <v>D4.5</v>
          </cell>
          <cell r="E92" t="str">
            <v>Concrete, type C2</v>
          </cell>
          <cell r="F92" t="str">
            <v>m³</v>
          </cell>
          <cell r="G92">
            <v>210</v>
          </cell>
          <cell r="H92">
            <v>312038</v>
          </cell>
          <cell r="I92">
            <v>65527980</v>
          </cell>
          <cell r="J92" t="str">
            <v>TS.3.24</v>
          </cell>
        </row>
        <row r="93">
          <cell r="B93" t="str">
            <v>D4.6</v>
          </cell>
          <cell r="E93" t="str">
            <v>Concrete, type E</v>
          </cell>
          <cell r="F93" t="str">
            <v>m³</v>
          </cell>
          <cell r="G93">
            <v>20</v>
          </cell>
          <cell r="H93">
            <v>290200</v>
          </cell>
          <cell r="I93">
            <v>5804000</v>
          </cell>
          <cell r="J93" t="str">
            <v>TS.3.24</v>
          </cell>
        </row>
        <row r="94">
          <cell r="B94" t="str">
            <v>D4.7</v>
          </cell>
          <cell r="E94" t="str">
            <v>Reinforcing steel bar</v>
          </cell>
          <cell r="F94" t="str">
            <v>kg</v>
          </cell>
          <cell r="G94">
            <v>1090</v>
          </cell>
          <cell r="H94">
            <v>3554</v>
          </cell>
          <cell r="I94">
            <v>3873860</v>
          </cell>
          <cell r="J94" t="str">
            <v>TS.3.24</v>
          </cell>
        </row>
        <row r="95">
          <cell r="B95" t="str">
            <v>D4.8</v>
          </cell>
          <cell r="E95" t="str">
            <v>Form work FW1</v>
          </cell>
          <cell r="F95" t="str">
            <v>m²</v>
          </cell>
          <cell r="G95">
            <v>670</v>
          </cell>
          <cell r="H95">
            <v>70833</v>
          </cell>
          <cell r="I95">
            <v>47458110</v>
          </cell>
          <cell r="J95" t="str">
            <v>TS.3.24</v>
          </cell>
        </row>
        <row r="96">
          <cell r="B96" t="str">
            <v>D4.9</v>
          </cell>
          <cell r="E96" t="str">
            <v xml:space="preserve">Wet stone masonry (1:4) for revetment </v>
          </cell>
          <cell r="F96" t="str">
            <v>m³</v>
          </cell>
          <cell r="G96">
            <v>170</v>
          </cell>
          <cell r="H96">
            <v>163909</v>
          </cell>
          <cell r="I96">
            <v>27864530</v>
          </cell>
          <cell r="J96" t="str">
            <v>TS.4.14</v>
          </cell>
        </row>
        <row r="97">
          <cell r="B97" t="str">
            <v>D4.10</v>
          </cell>
          <cell r="E97" t="str">
            <v>Crusher run bedding</v>
          </cell>
          <cell r="F97" t="str">
            <v>m³</v>
          </cell>
          <cell r="G97">
            <v>270</v>
          </cell>
          <cell r="H97">
            <v>128530</v>
          </cell>
          <cell r="I97">
            <v>34703100</v>
          </cell>
          <cell r="J97" t="str">
            <v>TS.4.14</v>
          </cell>
        </row>
        <row r="98">
          <cell r="B98" t="str">
            <v>D4.11</v>
          </cell>
          <cell r="E98" t="str">
            <v>Plastering</v>
          </cell>
          <cell r="F98" t="str">
            <v>m²</v>
          </cell>
          <cell r="G98">
            <v>570</v>
          </cell>
          <cell r="H98">
            <v>10137</v>
          </cell>
          <cell r="I98">
            <v>5778090</v>
          </cell>
          <cell r="J98" t="str">
            <v>TS.4.14</v>
          </cell>
        </row>
        <row r="99">
          <cell r="B99" t="str">
            <v>D4.12</v>
          </cell>
          <cell r="E99" t="str">
            <v>Gabion mattress</v>
          </cell>
          <cell r="F99" t="str">
            <v>m³</v>
          </cell>
          <cell r="G99">
            <v>360</v>
          </cell>
          <cell r="H99">
            <v>283607</v>
          </cell>
          <cell r="I99">
            <v>102098520</v>
          </cell>
          <cell r="J99" t="str">
            <v>TS.4.14</v>
          </cell>
        </row>
        <row r="100">
          <cell r="B100" t="str">
            <v>D4.13</v>
          </cell>
          <cell r="E100" t="str">
            <v>Gabion cylinder</v>
          </cell>
          <cell r="F100" t="str">
            <v>m³</v>
          </cell>
          <cell r="G100">
            <v>330</v>
          </cell>
          <cell r="H100">
            <v>200326</v>
          </cell>
          <cell r="I100">
            <v>66107580</v>
          </cell>
          <cell r="J100" t="str">
            <v>TS.4.14</v>
          </cell>
        </row>
        <row r="101">
          <cell r="B101" t="str">
            <v>D4.14</v>
          </cell>
          <cell r="E101" t="str">
            <v>Cobble stone filling</v>
          </cell>
          <cell r="F101" t="str">
            <v>m³</v>
          </cell>
          <cell r="G101">
            <v>150</v>
          </cell>
          <cell r="H101">
            <v>57655</v>
          </cell>
          <cell r="I101">
            <v>8648250</v>
          </cell>
          <cell r="J101" t="str">
            <v>TS.4.14</v>
          </cell>
        </row>
        <row r="102">
          <cell r="B102" t="str">
            <v>D5</v>
          </cell>
          <cell r="E102" t="str">
            <v>APPROACH STEPS, TYPE PB (26 place)</v>
          </cell>
        </row>
        <row r="103">
          <cell r="B103" t="str">
            <v>D5.1</v>
          </cell>
          <cell r="E103" t="str">
            <v>Excavation (common)</v>
          </cell>
          <cell r="F103" t="str">
            <v>m³</v>
          </cell>
          <cell r="G103">
            <v>290</v>
          </cell>
          <cell r="H103">
            <v>6921</v>
          </cell>
          <cell r="I103">
            <v>2007090</v>
          </cell>
          <cell r="J103" t="str">
            <v>TS.2.10</v>
          </cell>
        </row>
        <row r="104">
          <cell r="B104" t="str">
            <v>D5.2</v>
          </cell>
          <cell r="E104" t="str">
            <v>Backfill with selected soil</v>
          </cell>
          <cell r="F104" t="str">
            <v>m³</v>
          </cell>
          <cell r="G104">
            <v>22</v>
          </cell>
          <cell r="H104">
            <v>5530</v>
          </cell>
          <cell r="I104">
            <v>121660</v>
          </cell>
          <cell r="J104" t="str">
            <v>TS.2.10</v>
          </cell>
        </row>
        <row r="105">
          <cell r="B105" t="str">
            <v>D5.3</v>
          </cell>
          <cell r="E105" t="str">
            <v>Concrete, type C1</v>
          </cell>
          <cell r="F105" t="str">
            <v>m³</v>
          </cell>
          <cell r="G105">
            <v>15</v>
          </cell>
          <cell r="H105">
            <v>332655</v>
          </cell>
          <cell r="I105">
            <v>4989825</v>
          </cell>
          <cell r="J105" t="str">
            <v>TS.3.24</v>
          </cell>
        </row>
        <row r="106">
          <cell r="B106" t="str">
            <v>D5.4</v>
          </cell>
          <cell r="E106" t="str">
            <v>Concrete, type C2</v>
          </cell>
          <cell r="F106" t="str">
            <v>m³</v>
          </cell>
          <cell r="G106">
            <v>100</v>
          </cell>
          <cell r="H106">
            <v>313783</v>
          </cell>
          <cell r="I106">
            <v>31378300</v>
          </cell>
          <cell r="J106" t="str">
            <v>TS.3.24</v>
          </cell>
        </row>
        <row r="107">
          <cell r="B107" t="str">
            <v>D5.5</v>
          </cell>
          <cell r="E107" t="str">
            <v>Form work FW1</v>
          </cell>
          <cell r="F107" t="str">
            <v>m²</v>
          </cell>
          <cell r="G107">
            <v>610</v>
          </cell>
          <cell r="H107">
            <v>70833</v>
          </cell>
          <cell r="I107">
            <v>43208130</v>
          </cell>
          <cell r="J107" t="str">
            <v>TS.3.24</v>
          </cell>
        </row>
        <row r="108">
          <cell r="B108" t="str">
            <v>D5.6</v>
          </cell>
          <cell r="E108" t="str">
            <v>Crusher run bedding</v>
          </cell>
          <cell r="F108" t="str">
            <v>m³</v>
          </cell>
          <cell r="G108">
            <v>99</v>
          </cell>
          <cell r="H108">
            <v>128530</v>
          </cell>
          <cell r="I108">
            <v>12724470</v>
          </cell>
          <cell r="J108" t="str">
            <v>TS.4.14</v>
          </cell>
        </row>
        <row r="109">
          <cell r="B109" t="str">
            <v>D6 - D11</v>
          </cell>
          <cell r="E109" t="str">
            <v>(Not Applicable)</v>
          </cell>
        </row>
        <row r="110">
          <cell r="B110" t="str">
            <v>E</v>
          </cell>
          <cell r="E110" t="str">
            <v>DRAINAGE CHANNEL and OUTLET WORKS</v>
          </cell>
        </row>
        <row r="111">
          <cell r="B111" t="str">
            <v>E1</v>
          </cell>
          <cell r="E111" t="str">
            <v>PREPARATION WORKS for DRAINAGE WORKS</v>
          </cell>
        </row>
        <row r="112">
          <cell r="B112" t="str">
            <v>E1.1</v>
          </cell>
          <cell r="E112" t="str">
            <v>Coffering and dewatering</v>
          </cell>
          <cell r="F112" t="str">
            <v>ls</v>
          </cell>
          <cell r="G112">
            <v>1</v>
          </cell>
          <cell r="H112">
            <v>16731927</v>
          </cell>
          <cell r="I112">
            <v>16731927</v>
          </cell>
          <cell r="J112" t="str">
            <v>TS.1.04</v>
          </cell>
        </row>
        <row r="113">
          <cell r="B113" t="str">
            <v>E1.2</v>
          </cell>
          <cell r="E113" t="str">
            <v>Clearing and grubbing</v>
          </cell>
          <cell r="F113" t="str">
            <v>m²</v>
          </cell>
          <cell r="G113">
            <v>280</v>
          </cell>
          <cell r="H113">
            <v>4019</v>
          </cell>
          <cell r="I113">
            <v>1125320</v>
          </cell>
          <cell r="J113" t="str">
            <v>TS.2.10</v>
          </cell>
        </row>
        <row r="114">
          <cell r="B114" t="str">
            <v>E2</v>
          </cell>
          <cell r="E114" t="str">
            <v>DRAINAGE OUTLET SL1, PIPE CULVERT with FLAP GATE</v>
          </cell>
        </row>
        <row r="115">
          <cell r="B115" t="str">
            <v>E2.1</v>
          </cell>
          <cell r="E115" t="str">
            <v>Excavation (common)</v>
          </cell>
          <cell r="F115" t="str">
            <v>m³</v>
          </cell>
          <cell r="G115">
            <v>1300</v>
          </cell>
          <cell r="H115">
            <v>6921</v>
          </cell>
          <cell r="I115">
            <v>8997300</v>
          </cell>
          <cell r="J115" t="str">
            <v>TS.2.10</v>
          </cell>
        </row>
        <row r="116">
          <cell r="B116" t="str">
            <v>E2.2</v>
          </cell>
          <cell r="E116" t="str">
            <v>Backfill with selected soil</v>
          </cell>
          <cell r="F116" t="str">
            <v>m³</v>
          </cell>
          <cell r="G116">
            <v>220</v>
          </cell>
          <cell r="H116">
            <v>5530</v>
          </cell>
          <cell r="I116">
            <v>1216600</v>
          </cell>
          <cell r="J116" t="str">
            <v>TS.2.10</v>
          </cell>
        </row>
        <row r="117">
          <cell r="B117" t="str">
            <v>E2.3</v>
          </cell>
          <cell r="E117" t="str">
            <v>Crusher run bedding</v>
          </cell>
          <cell r="F117" t="str">
            <v>m³</v>
          </cell>
          <cell r="G117">
            <v>150</v>
          </cell>
          <cell r="H117">
            <v>128530</v>
          </cell>
          <cell r="I117">
            <v>19279500</v>
          </cell>
          <cell r="J117" t="str">
            <v>TS.4.14</v>
          </cell>
        </row>
        <row r="118">
          <cell r="B118" t="str">
            <v>E2.4</v>
          </cell>
          <cell r="E118" t="str">
            <v>Log pile, dia. 150 mm L = 3.0 m</v>
          </cell>
          <cell r="F118" t="str">
            <v>m</v>
          </cell>
          <cell r="G118">
            <v>220</v>
          </cell>
          <cell r="H118">
            <v>7918</v>
          </cell>
          <cell r="I118">
            <v>1741960</v>
          </cell>
          <cell r="J118" t="str">
            <v>TS.5.07</v>
          </cell>
        </row>
        <row r="119">
          <cell r="B119" t="str">
            <v>E2.5</v>
          </cell>
          <cell r="E119" t="str">
            <v>Wet stone masonry (1:4) for revetment</v>
          </cell>
          <cell r="F119" t="str">
            <v>m³</v>
          </cell>
          <cell r="G119">
            <v>130</v>
          </cell>
          <cell r="H119">
            <v>163909</v>
          </cell>
          <cell r="I119">
            <v>21308170</v>
          </cell>
          <cell r="J119" t="str">
            <v>TS.4.14</v>
          </cell>
        </row>
        <row r="120">
          <cell r="B120" t="str">
            <v>E2.6</v>
          </cell>
          <cell r="E120" t="str">
            <v>Cement mortar plastering</v>
          </cell>
          <cell r="F120" t="str">
            <v>m²</v>
          </cell>
          <cell r="G120">
            <v>510</v>
          </cell>
          <cell r="H120">
            <v>12274</v>
          </cell>
          <cell r="I120">
            <v>6259740</v>
          </cell>
          <cell r="J120" t="str">
            <v>TS.4.14</v>
          </cell>
        </row>
        <row r="121">
          <cell r="B121" t="str">
            <v>E2.7</v>
          </cell>
          <cell r="E121" t="str">
            <v>Weep hole, dia. 50 mm</v>
          </cell>
          <cell r="F121" t="str">
            <v>nos</v>
          </cell>
          <cell r="G121">
            <v>74</v>
          </cell>
          <cell r="H121">
            <v>36874</v>
          </cell>
          <cell r="I121">
            <v>2728676</v>
          </cell>
          <cell r="J121" t="str">
            <v>TS.4.14</v>
          </cell>
        </row>
        <row r="122">
          <cell r="B122" t="str">
            <v>E2.8</v>
          </cell>
          <cell r="E122" t="str">
            <v>Dowel bar, dia. 19 mm L = 600 mm</v>
          </cell>
          <cell r="F122" t="str">
            <v>kg</v>
          </cell>
          <cell r="G122">
            <v>5</v>
          </cell>
          <cell r="H122">
            <v>11285</v>
          </cell>
          <cell r="I122">
            <v>56425</v>
          </cell>
          <cell r="J122" t="str">
            <v>TS.3.24</v>
          </cell>
        </row>
        <row r="123">
          <cell r="B123" t="str">
            <v>E2.9</v>
          </cell>
          <cell r="E123" t="str">
            <v>Water stop, 30 cm</v>
          </cell>
          <cell r="F123" t="str">
            <v>m</v>
          </cell>
          <cell r="G123">
            <v>2</v>
          </cell>
          <cell r="H123">
            <v>128471</v>
          </cell>
          <cell r="I123">
            <v>256942</v>
          </cell>
          <cell r="J123" t="str">
            <v>TS.3.24</v>
          </cell>
        </row>
        <row r="124">
          <cell r="B124" t="str">
            <v>E2.10</v>
          </cell>
          <cell r="E124" t="str">
            <v>Concrete, type C2</v>
          </cell>
          <cell r="F124" t="str">
            <v>m³</v>
          </cell>
          <cell r="G124">
            <v>93</v>
          </cell>
          <cell r="H124">
            <v>314033</v>
          </cell>
          <cell r="I124">
            <v>29205069</v>
          </cell>
          <cell r="J124" t="str">
            <v>TS.3.24</v>
          </cell>
        </row>
        <row r="125">
          <cell r="B125" t="str">
            <v>E2.11</v>
          </cell>
          <cell r="E125" t="str">
            <v>Concrete, type E</v>
          </cell>
          <cell r="F125" t="str">
            <v>m³</v>
          </cell>
          <cell r="G125">
            <v>5</v>
          </cell>
          <cell r="H125">
            <v>315179</v>
          </cell>
          <cell r="I125">
            <v>1575895</v>
          </cell>
          <cell r="J125" t="str">
            <v>TS.3.24</v>
          </cell>
        </row>
        <row r="126">
          <cell r="B126" t="str">
            <v>E2.12</v>
          </cell>
          <cell r="E126" t="str">
            <v>Reinforcing steel bar</v>
          </cell>
          <cell r="F126" t="str">
            <v>kg</v>
          </cell>
          <cell r="G126">
            <v>3600</v>
          </cell>
          <cell r="H126">
            <v>3554</v>
          </cell>
          <cell r="I126">
            <v>12794400</v>
          </cell>
          <cell r="J126" t="str">
            <v>TS.3.24</v>
          </cell>
        </row>
        <row r="127">
          <cell r="B127" t="str">
            <v>E2.13</v>
          </cell>
          <cell r="E127" t="str">
            <v>Formwork FW1</v>
          </cell>
          <cell r="F127" t="str">
            <v>m²</v>
          </cell>
          <cell r="G127">
            <v>420</v>
          </cell>
          <cell r="H127">
            <v>70833</v>
          </cell>
          <cell r="I127">
            <v>29749860</v>
          </cell>
          <cell r="J127" t="str">
            <v>TS.3.24</v>
          </cell>
        </row>
        <row r="128">
          <cell r="B128" t="str">
            <v>E2.14</v>
          </cell>
          <cell r="E128" t="str">
            <v>Formwork FW2</v>
          </cell>
          <cell r="F128" t="str">
            <v>m²</v>
          </cell>
          <cell r="G128">
            <v>1</v>
          </cell>
          <cell r="H128">
            <v>84938</v>
          </cell>
          <cell r="I128">
            <v>84938</v>
          </cell>
          <cell r="J128" t="str">
            <v>TS.3.24</v>
          </cell>
        </row>
        <row r="129">
          <cell r="B129" t="str">
            <v>E2.15</v>
          </cell>
          <cell r="E129" t="str">
            <v>Elastic joint filler, 10 mm thick</v>
          </cell>
          <cell r="F129" t="str">
            <v>m²</v>
          </cell>
          <cell r="G129">
            <v>30</v>
          </cell>
          <cell r="H129">
            <v>107210</v>
          </cell>
          <cell r="I129">
            <v>3216300</v>
          </cell>
          <cell r="J129" t="str">
            <v>TS.3.24</v>
          </cell>
        </row>
        <row r="130">
          <cell r="B130" t="str">
            <v>E2.16</v>
          </cell>
          <cell r="E130" t="str">
            <v>RC pipe, dia. 600 mm</v>
          </cell>
          <cell r="F130" t="str">
            <v>m</v>
          </cell>
          <cell r="G130">
            <v>22</v>
          </cell>
          <cell r="H130">
            <v>242005</v>
          </cell>
          <cell r="I130">
            <v>5324110</v>
          </cell>
          <cell r="J130" t="str">
            <v>TS.12.10</v>
          </cell>
        </row>
        <row r="131">
          <cell r="B131" t="str">
            <v>E2.17</v>
          </cell>
          <cell r="E131" t="str">
            <v>Supply and installation of flap gate, dia. 600 mm</v>
          </cell>
          <cell r="F131" t="str">
            <v>set</v>
          </cell>
          <cell r="G131">
            <v>1</v>
          </cell>
          <cell r="H131">
            <v>20059362</v>
          </cell>
          <cell r="I131">
            <v>20059362</v>
          </cell>
          <cell r="J131" t="str">
            <v>TS.6.09</v>
          </cell>
        </row>
        <row r="132">
          <cell r="B132" t="str">
            <v>E3</v>
          </cell>
          <cell r="E132" t="str">
            <v>DRAINAGE OUTLET SL2, BOX CULVERT with SLUICE GATE</v>
          </cell>
        </row>
        <row r="133">
          <cell r="B133" t="str">
            <v>E3.1</v>
          </cell>
          <cell r="E133" t="str">
            <v>Excavation (common)</v>
          </cell>
          <cell r="F133" t="str">
            <v>m³</v>
          </cell>
          <cell r="G133">
            <v>540</v>
          </cell>
          <cell r="H133">
            <v>6921</v>
          </cell>
          <cell r="I133">
            <v>3737340</v>
          </cell>
          <cell r="J133" t="str">
            <v>TS.2.10</v>
          </cell>
        </row>
        <row r="134">
          <cell r="B134" t="str">
            <v>E3.2</v>
          </cell>
          <cell r="E134" t="str">
            <v>Backfill with selected soil</v>
          </cell>
          <cell r="F134" t="str">
            <v>m³</v>
          </cell>
          <cell r="G134">
            <v>600</v>
          </cell>
          <cell r="H134">
            <v>5530</v>
          </cell>
          <cell r="I134">
            <v>3318000</v>
          </cell>
          <cell r="J134" t="str">
            <v>TS.2.10</v>
          </cell>
        </row>
        <row r="135">
          <cell r="B135" t="str">
            <v>E3.3</v>
          </cell>
          <cell r="E135" t="str">
            <v>Crusher run bedding</v>
          </cell>
          <cell r="F135" t="str">
            <v>m³</v>
          </cell>
          <cell r="G135">
            <v>42</v>
          </cell>
          <cell r="H135">
            <v>128530</v>
          </cell>
          <cell r="I135">
            <v>5398260</v>
          </cell>
          <cell r="J135" t="str">
            <v>TS.4.14</v>
          </cell>
        </row>
        <row r="136">
          <cell r="B136" t="str">
            <v>E3.4</v>
          </cell>
          <cell r="E136" t="str">
            <v>Wet stone masonry (1:4) for revetment</v>
          </cell>
          <cell r="F136" t="str">
            <v>m³</v>
          </cell>
          <cell r="G136">
            <v>100</v>
          </cell>
          <cell r="H136">
            <v>163909</v>
          </cell>
          <cell r="I136">
            <v>16390900</v>
          </cell>
          <cell r="J136" t="str">
            <v>TS.4.14</v>
          </cell>
        </row>
        <row r="137">
          <cell r="B137" t="str">
            <v>E3.5</v>
          </cell>
          <cell r="E137" t="str">
            <v>Cement mortar plastering</v>
          </cell>
          <cell r="F137" t="str">
            <v>m²</v>
          </cell>
          <cell r="G137">
            <v>280</v>
          </cell>
          <cell r="H137">
            <v>12274</v>
          </cell>
          <cell r="I137">
            <v>3436720</v>
          </cell>
          <cell r="J137" t="str">
            <v>TS.4.14</v>
          </cell>
        </row>
        <row r="138">
          <cell r="B138" t="str">
            <v>E3.6</v>
          </cell>
          <cell r="E138" t="str">
            <v>Supply and driving of steel sheet piles, type II</v>
          </cell>
          <cell r="F138" t="str">
            <v>m²</v>
          </cell>
          <cell r="G138">
            <v>19</v>
          </cell>
          <cell r="H138">
            <v>754167</v>
          </cell>
          <cell r="I138">
            <v>14329173</v>
          </cell>
          <cell r="J138" t="str">
            <v>TS.5.07</v>
          </cell>
        </row>
        <row r="139">
          <cell r="B139" t="str">
            <v>E3.7</v>
          </cell>
          <cell r="E139" t="str">
            <v>Log pile dia. 150 mm L = 3.0 m</v>
          </cell>
          <cell r="F139" t="str">
            <v>m</v>
          </cell>
          <cell r="G139">
            <v>100</v>
          </cell>
          <cell r="H139">
            <v>7918</v>
          </cell>
          <cell r="I139">
            <v>791800</v>
          </cell>
          <cell r="J139" t="str">
            <v>TS.5.07</v>
          </cell>
        </row>
        <row r="140">
          <cell r="B140" t="str">
            <v>E3.8</v>
          </cell>
          <cell r="E140" t="str">
            <v>Concrete, type C1</v>
          </cell>
          <cell r="F140" t="str">
            <v>m³</v>
          </cell>
          <cell r="G140">
            <v>130</v>
          </cell>
          <cell r="H140">
            <v>313014</v>
          </cell>
          <cell r="I140">
            <v>40691820</v>
          </cell>
          <cell r="J140" t="str">
            <v>TS.3.24</v>
          </cell>
        </row>
        <row r="141">
          <cell r="B141" t="str">
            <v>E3.9</v>
          </cell>
          <cell r="E141" t="str">
            <v>Concrete, type C2</v>
          </cell>
          <cell r="F141" t="str">
            <v>m³</v>
          </cell>
          <cell r="G141">
            <v>57</v>
          </cell>
          <cell r="H141">
            <v>316295</v>
          </cell>
          <cell r="I141">
            <v>18028815</v>
          </cell>
          <cell r="J141" t="str">
            <v>TS.3.24</v>
          </cell>
        </row>
        <row r="142">
          <cell r="B142" t="str">
            <v>E3.10</v>
          </cell>
          <cell r="E142" t="str">
            <v>Concrete, type E</v>
          </cell>
          <cell r="F142" t="str">
            <v>m³</v>
          </cell>
          <cell r="G142">
            <v>35</v>
          </cell>
          <cell r="H142">
            <v>286632</v>
          </cell>
          <cell r="I142">
            <v>10032120</v>
          </cell>
          <cell r="J142" t="str">
            <v>TS.3.24</v>
          </cell>
        </row>
        <row r="143">
          <cell r="B143" t="str">
            <v>E3.11</v>
          </cell>
          <cell r="E143" t="str">
            <v>Reinforcing steel bar</v>
          </cell>
          <cell r="F143" t="str">
            <v>kg</v>
          </cell>
          <cell r="G143">
            <v>11900</v>
          </cell>
          <cell r="H143">
            <v>3554</v>
          </cell>
          <cell r="I143">
            <v>42292600</v>
          </cell>
          <cell r="J143" t="str">
            <v>TS.3.24</v>
          </cell>
        </row>
        <row r="144">
          <cell r="B144" t="str">
            <v>E3.12</v>
          </cell>
          <cell r="E144" t="str">
            <v>Formwork FW1</v>
          </cell>
          <cell r="F144" t="str">
            <v>m²</v>
          </cell>
          <cell r="G144">
            <v>460</v>
          </cell>
          <cell r="H144">
            <v>70833</v>
          </cell>
          <cell r="I144">
            <v>32583180</v>
          </cell>
          <cell r="J144" t="str">
            <v>TS.3.24</v>
          </cell>
        </row>
        <row r="145">
          <cell r="B145" t="str">
            <v>E3.13</v>
          </cell>
          <cell r="E145" t="str">
            <v>Formwork FW2</v>
          </cell>
          <cell r="F145" t="str">
            <v>m²</v>
          </cell>
          <cell r="G145">
            <v>75</v>
          </cell>
          <cell r="H145">
            <v>84938</v>
          </cell>
          <cell r="I145">
            <v>6370350</v>
          </cell>
          <cell r="J145" t="str">
            <v>TS.3.24</v>
          </cell>
        </row>
        <row r="146">
          <cell r="B146" t="str">
            <v>E3.14</v>
          </cell>
          <cell r="E146" t="str">
            <v>Dowel bar</v>
          </cell>
          <cell r="F146" t="str">
            <v>kg</v>
          </cell>
          <cell r="G146">
            <v>14</v>
          </cell>
          <cell r="H146">
            <v>11285</v>
          </cell>
          <cell r="I146">
            <v>157990</v>
          </cell>
          <cell r="J146" t="str">
            <v>TS.3.24</v>
          </cell>
        </row>
        <row r="147">
          <cell r="B147" t="str">
            <v>E3.15</v>
          </cell>
          <cell r="E147" t="str">
            <v>Elastic joint filler, 10 mm thick</v>
          </cell>
          <cell r="F147" t="str">
            <v>m²</v>
          </cell>
          <cell r="G147">
            <v>2</v>
          </cell>
          <cell r="H147">
            <v>107210</v>
          </cell>
          <cell r="I147">
            <v>214420</v>
          </cell>
          <cell r="J147" t="str">
            <v>TS.3.24</v>
          </cell>
        </row>
        <row r="148">
          <cell r="B148" t="str">
            <v>E3.16</v>
          </cell>
          <cell r="E148" t="str">
            <v>Water stop, 30 cm wide</v>
          </cell>
          <cell r="F148" t="str">
            <v>m</v>
          </cell>
          <cell r="G148">
            <v>6</v>
          </cell>
          <cell r="H148">
            <v>128471</v>
          </cell>
          <cell r="I148">
            <v>770826</v>
          </cell>
          <cell r="J148" t="str">
            <v>TS.3.24</v>
          </cell>
        </row>
        <row r="149">
          <cell r="B149" t="str">
            <v>E3.17</v>
          </cell>
          <cell r="E149" t="str">
            <v>Handrail, galvanized steel pipe</v>
          </cell>
          <cell r="F149" t="str">
            <v>kg</v>
          </cell>
          <cell r="G149">
            <v>300</v>
          </cell>
          <cell r="H149">
            <v>8709</v>
          </cell>
          <cell r="I149">
            <v>2612700</v>
          </cell>
          <cell r="J149" t="str">
            <v>TS.6.09</v>
          </cell>
        </row>
        <row r="150">
          <cell r="B150" t="str">
            <v>E3.18</v>
          </cell>
          <cell r="E150" t="str">
            <v>Galvanized steel ladder</v>
          </cell>
          <cell r="F150" t="str">
            <v>kg</v>
          </cell>
          <cell r="G150">
            <v>31</v>
          </cell>
          <cell r="H150">
            <v>5473</v>
          </cell>
          <cell r="I150">
            <v>169663</v>
          </cell>
          <cell r="J150" t="str">
            <v>TS.6.09</v>
          </cell>
        </row>
        <row r="151">
          <cell r="B151" t="str">
            <v>E3.19</v>
          </cell>
          <cell r="E151" t="str">
            <v>Supply and installation of steel slide gates (H=1.5 m, B=2.0 m)x2</v>
          </cell>
          <cell r="F151" t="str">
            <v>ls</v>
          </cell>
          <cell r="G151">
            <v>1</v>
          </cell>
          <cell r="H151">
            <v>27852586</v>
          </cell>
          <cell r="I151">
            <v>27852586</v>
          </cell>
          <cell r="J151" t="str">
            <v>TS.9.09</v>
          </cell>
        </row>
        <row r="153">
          <cell r="B153" t="str">
            <v>E4 - E20</v>
          </cell>
          <cell r="E153" t="str">
            <v>(Not Applicable)</v>
          </cell>
        </row>
        <row r="155">
          <cell r="B155" t="str">
            <v>E21</v>
          </cell>
          <cell r="E155" t="str">
            <v>DRAINAGE DITCH CONNECTING to DRAINAGE OUTLETS</v>
          </cell>
        </row>
        <row r="156">
          <cell r="B156" t="str">
            <v>E21.1</v>
          </cell>
          <cell r="E156" t="str">
            <v>Excavation (common)</v>
          </cell>
          <cell r="F156" t="str">
            <v>m³</v>
          </cell>
          <cell r="G156">
            <v>600</v>
          </cell>
          <cell r="H156">
            <v>6921</v>
          </cell>
          <cell r="I156">
            <v>4152600</v>
          </cell>
          <cell r="J156" t="str">
            <v>TS.2.10</v>
          </cell>
        </row>
        <row r="157">
          <cell r="B157" t="str">
            <v>E21.2</v>
          </cell>
          <cell r="E157" t="str">
            <v>Crusher run bedding</v>
          </cell>
          <cell r="F157" t="str">
            <v>m³</v>
          </cell>
          <cell r="G157">
            <v>41</v>
          </cell>
          <cell r="H157">
            <v>128530</v>
          </cell>
          <cell r="I157">
            <v>5269730</v>
          </cell>
          <cell r="J157" t="str">
            <v>TS.4.14</v>
          </cell>
        </row>
        <row r="158">
          <cell r="B158" t="str">
            <v>E21.3</v>
          </cell>
          <cell r="E158" t="str">
            <v>Wet stone masonry (1:4) for revetment</v>
          </cell>
          <cell r="F158" t="str">
            <v>m³</v>
          </cell>
          <cell r="G158">
            <v>41</v>
          </cell>
          <cell r="H158">
            <v>163909</v>
          </cell>
          <cell r="I158">
            <v>6720269</v>
          </cell>
          <cell r="J158" t="str">
            <v>TS.4.14</v>
          </cell>
        </row>
        <row r="159">
          <cell r="B159" t="str">
            <v>E21.4</v>
          </cell>
          <cell r="E159" t="str">
            <v>Cement mortar plastering</v>
          </cell>
          <cell r="F159" t="str">
            <v>m²</v>
          </cell>
          <cell r="G159">
            <v>160</v>
          </cell>
          <cell r="H159">
            <v>12274</v>
          </cell>
          <cell r="I159">
            <v>1963840</v>
          </cell>
          <cell r="J159" t="str">
            <v>TS.4.14</v>
          </cell>
        </row>
        <row r="160">
          <cell r="B160" t="str">
            <v>E21.5</v>
          </cell>
          <cell r="E160" t="str">
            <v>Concrete, type C2</v>
          </cell>
          <cell r="F160" t="str">
            <v>m³</v>
          </cell>
          <cell r="G160">
            <v>45</v>
          </cell>
          <cell r="H160">
            <v>317853</v>
          </cell>
          <cell r="I160">
            <v>14303385</v>
          </cell>
          <cell r="J160" t="str">
            <v>TS.3.14</v>
          </cell>
        </row>
        <row r="161">
          <cell r="B161" t="str">
            <v>E21.6</v>
          </cell>
          <cell r="E161" t="str">
            <v>Concrete, type E</v>
          </cell>
          <cell r="F161" t="str">
            <v>m³</v>
          </cell>
          <cell r="G161">
            <v>5</v>
          </cell>
          <cell r="H161">
            <v>315179</v>
          </cell>
          <cell r="I161">
            <v>1575895</v>
          </cell>
          <cell r="J161" t="str">
            <v>TS.3.24</v>
          </cell>
        </row>
        <row r="162">
          <cell r="B162" t="str">
            <v>E21.7</v>
          </cell>
          <cell r="E162" t="str">
            <v>Reinforcing steel bar</v>
          </cell>
          <cell r="F162" t="str">
            <v>kg</v>
          </cell>
          <cell r="G162">
            <v>870</v>
          </cell>
          <cell r="H162">
            <v>3554</v>
          </cell>
          <cell r="I162">
            <v>3091980</v>
          </cell>
          <cell r="J162" t="str">
            <v>TS.2.34</v>
          </cell>
        </row>
        <row r="163">
          <cell r="B163" t="str">
            <v>E21.8</v>
          </cell>
          <cell r="E163" t="str">
            <v>Formwork FW1</v>
          </cell>
          <cell r="F163" t="str">
            <v>m²</v>
          </cell>
          <cell r="G163">
            <v>80</v>
          </cell>
          <cell r="H163">
            <v>70833</v>
          </cell>
          <cell r="I163">
            <v>5666640</v>
          </cell>
          <cell r="J163" t="str">
            <v>TS.2.34</v>
          </cell>
        </row>
        <row r="165">
          <cell r="B165" t="str">
            <v>E22 - E24</v>
          </cell>
          <cell r="E165" t="str">
            <v>(Not Applicable)</v>
          </cell>
        </row>
        <row r="167">
          <cell r="B167" t="str">
            <v>F</v>
          </cell>
          <cell r="E167" t="str">
            <v>BANDAR SIDORAS INTAKE WEIR and IRRIGATON FACILITIES</v>
          </cell>
        </row>
        <row r="168">
          <cell r="B168" t="str">
            <v>F1</v>
          </cell>
          <cell r="E168" t="str">
            <v>PREPARATION WORKS</v>
          </cell>
        </row>
        <row r="169">
          <cell r="B169" t="str">
            <v>F1.1</v>
          </cell>
          <cell r="E169" t="str">
            <v>Clearing and grubbing</v>
          </cell>
          <cell r="F169" t="str">
            <v>m²</v>
          </cell>
          <cell r="G169">
            <v>4290</v>
          </cell>
          <cell r="H169">
            <v>4019</v>
          </cell>
          <cell r="I169">
            <v>17241510</v>
          </cell>
          <cell r="J169" t="str">
            <v>TS.2.10</v>
          </cell>
        </row>
        <row r="170">
          <cell r="B170" t="str">
            <v>F1.2</v>
          </cell>
          <cell r="E170" t="str">
            <v>Coffering and dewatering</v>
          </cell>
          <cell r="F170" t="str">
            <v>ls</v>
          </cell>
          <cell r="G170">
            <v>1</v>
          </cell>
          <cell r="H170">
            <v>71238786</v>
          </cell>
          <cell r="I170">
            <v>71238786</v>
          </cell>
          <cell r="J170" t="str">
            <v>TS.1.04</v>
          </cell>
        </row>
        <row r="171">
          <cell r="B171" t="str">
            <v>F1.3</v>
          </cell>
          <cell r="E171" t="str">
            <v>Demolition and removal of existing structure</v>
          </cell>
          <cell r="F171" t="str">
            <v>ls</v>
          </cell>
          <cell r="G171">
            <v>1</v>
          </cell>
          <cell r="H171">
            <v>19926238</v>
          </cell>
          <cell r="I171">
            <v>19926238</v>
          </cell>
          <cell r="J171" t="str">
            <v>TS.2.10</v>
          </cell>
        </row>
        <row r="172">
          <cell r="B172" t="str">
            <v>F2</v>
          </cell>
          <cell r="E172" t="str">
            <v>INFLATABLE RUBBER-MADE DAM</v>
          </cell>
        </row>
        <row r="173">
          <cell r="E173" t="str">
            <v>EARTH WORKS</v>
          </cell>
        </row>
        <row r="174">
          <cell r="B174" t="str">
            <v>F2.1</v>
          </cell>
          <cell r="E174" t="str">
            <v>Excavation (common)</v>
          </cell>
          <cell r="F174" t="str">
            <v>m³</v>
          </cell>
          <cell r="G174">
            <v>6511</v>
          </cell>
          <cell r="H174">
            <v>6921</v>
          </cell>
          <cell r="I174">
            <v>45062631</v>
          </cell>
          <cell r="J174" t="str">
            <v>TS.2.10</v>
          </cell>
        </row>
        <row r="175">
          <cell r="B175" t="str">
            <v>F2.2</v>
          </cell>
          <cell r="E175" t="str">
            <v>Backfill with selected soil</v>
          </cell>
          <cell r="F175" t="str">
            <v>m³</v>
          </cell>
          <cell r="G175">
            <v>454</v>
          </cell>
          <cell r="H175">
            <v>5530</v>
          </cell>
          <cell r="I175">
            <v>2510620</v>
          </cell>
          <cell r="J175" t="str">
            <v>TS.2.10</v>
          </cell>
        </row>
        <row r="176">
          <cell r="E176" t="str">
            <v>CONCRETE WORKS</v>
          </cell>
        </row>
        <row r="177">
          <cell r="B177" t="str">
            <v>F2.3</v>
          </cell>
          <cell r="E177" t="str">
            <v>Concrete, type C1 for main structure</v>
          </cell>
          <cell r="F177" t="str">
            <v>m³</v>
          </cell>
          <cell r="G177">
            <v>2240</v>
          </cell>
          <cell r="H177">
            <v>318832</v>
          </cell>
          <cell r="I177">
            <v>714183680</v>
          </cell>
          <cell r="J177" t="str">
            <v>TS.3.24</v>
          </cell>
        </row>
        <row r="178">
          <cell r="B178" t="str">
            <v>F2.4</v>
          </cell>
          <cell r="E178" t="str">
            <v>Concrete, type E</v>
          </cell>
          <cell r="F178" t="str">
            <v>m³</v>
          </cell>
          <cell r="G178">
            <v>150</v>
          </cell>
          <cell r="H178">
            <v>282984</v>
          </cell>
          <cell r="I178">
            <v>42447600</v>
          </cell>
          <cell r="J178" t="str">
            <v>TS.3.24</v>
          </cell>
        </row>
        <row r="179">
          <cell r="B179" t="str">
            <v>F2.5</v>
          </cell>
          <cell r="E179" t="str">
            <v>Form work FW1</v>
          </cell>
          <cell r="F179" t="str">
            <v>m²</v>
          </cell>
          <cell r="G179">
            <v>1060</v>
          </cell>
          <cell r="H179">
            <v>70833</v>
          </cell>
          <cell r="I179">
            <v>75082980</v>
          </cell>
          <cell r="J179" t="str">
            <v>TS.3.24</v>
          </cell>
        </row>
        <row r="180">
          <cell r="B180" t="str">
            <v>F2.6</v>
          </cell>
          <cell r="E180" t="str">
            <v>Form work FW2</v>
          </cell>
          <cell r="F180" t="str">
            <v>m²</v>
          </cell>
          <cell r="G180">
            <v>490</v>
          </cell>
          <cell r="H180">
            <v>84938</v>
          </cell>
          <cell r="I180">
            <v>41619620</v>
          </cell>
          <cell r="J180" t="str">
            <v>TS.3.24</v>
          </cell>
        </row>
        <row r="181">
          <cell r="B181" t="str">
            <v>F2.7</v>
          </cell>
          <cell r="E181" t="str">
            <v>Reinforcing steel bar</v>
          </cell>
          <cell r="F181" t="str">
            <v>kg</v>
          </cell>
          <cell r="G181">
            <v>94900</v>
          </cell>
          <cell r="H181">
            <v>3554</v>
          </cell>
          <cell r="I181">
            <v>337274600</v>
          </cell>
          <cell r="J181" t="str">
            <v>TS.3.24</v>
          </cell>
        </row>
        <row r="182">
          <cell r="B182" t="str">
            <v>F2.8</v>
          </cell>
          <cell r="E182" t="str">
            <v>Elastic joint filler, 10 mm thick</v>
          </cell>
          <cell r="F182" t="str">
            <v>m²</v>
          </cell>
          <cell r="G182">
            <v>110</v>
          </cell>
          <cell r="H182">
            <v>107210</v>
          </cell>
          <cell r="I182">
            <v>11793100</v>
          </cell>
          <cell r="J182" t="str">
            <v>TS.3.24</v>
          </cell>
        </row>
        <row r="183">
          <cell r="B183" t="str">
            <v>F2.9</v>
          </cell>
          <cell r="E183" t="str">
            <v>Water stop, 30 cm wide</v>
          </cell>
          <cell r="F183" t="str">
            <v>m</v>
          </cell>
          <cell r="G183">
            <v>110</v>
          </cell>
          <cell r="H183">
            <v>128471</v>
          </cell>
          <cell r="I183">
            <v>14131810</v>
          </cell>
          <cell r="J183" t="str">
            <v>TS.3.24</v>
          </cell>
        </row>
        <row r="184">
          <cell r="B184" t="str">
            <v>F2.10</v>
          </cell>
          <cell r="E184" t="str">
            <v>Dowel bars, dia. 19 mm, 1.0 m long</v>
          </cell>
          <cell r="F184" t="str">
            <v>kg</v>
          </cell>
          <cell r="G184">
            <v>770</v>
          </cell>
          <cell r="H184">
            <v>11285</v>
          </cell>
          <cell r="I184">
            <v>8689450</v>
          </cell>
          <cell r="J184" t="str">
            <v>TS.3.24</v>
          </cell>
        </row>
        <row r="185">
          <cell r="E185" t="str">
            <v>PILE WORKS</v>
          </cell>
        </row>
        <row r="186">
          <cell r="B186" t="str">
            <v>F2.11</v>
          </cell>
          <cell r="E186" t="str">
            <v>PC pile for test pile, dia.400 mm, type AB</v>
          </cell>
          <cell r="F186" t="str">
            <v>m</v>
          </cell>
          <cell r="G186">
            <v>12</v>
          </cell>
          <cell r="H186">
            <v>200180</v>
          </cell>
          <cell r="I186">
            <v>2402160</v>
          </cell>
          <cell r="J186" t="str">
            <v>TS.5.07</v>
          </cell>
        </row>
        <row r="187">
          <cell r="B187" t="str">
            <v>F2.12</v>
          </cell>
          <cell r="E187" t="str">
            <v>Supply and driving of PC piles, dia. 400 mm, type AB</v>
          </cell>
          <cell r="F187" t="str">
            <v>m</v>
          </cell>
          <cell r="G187">
            <v>227</v>
          </cell>
          <cell r="H187">
            <v>200180</v>
          </cell>
          <cell r="I187">
            <v>45440860</v>
          </cell>
          <cell r="J187" t="str">
            <v>TS.5.07</v>
          </cell>
        </row>
        <row r="188">
          <cell r="B188" t="str">
            <v>F2.13</v>
          </cell>
          <cell r="E188" t="str">
            <v>PC pile for test pile, dia.600 mm, type AB</v>
          </cell>
          <cell r="F188" t="str">
            <v>m</v>
          </cell>
          <cell r="G188">
            <v>12</v>
          </cell>
          <cell r="H188">
            <v>361803</v>
          </cell>
          <cell r="I188">
            <v>4341636</v>
          </cell>
          <cell r="J188" t="str">
            <v>TS.5.07</v>
          </cell>
        </row>
        <row r="189">
          <cell r="B189" t="str">
            <v>F2.14</v>
          </cell>
          <cell r="E189" t="str">
            <v>Supply and driving of PC piles, dia. 600 mm, type AB</v>
          </cell>
          <cell r="F189" t="str">
            <v>m</v>
          </cell>
          <cell r="G189">
            <v>1500</v>
          </cell>
          <cell r="H189">
            <v>361803</v>
          </cell>
          <cell r="I189">
            <v>542704500</v>
          </cell>
          <cell r="J189" t="str">
            <v>TS.5.07</v>
          </cell>
        </row>
        <row r="190">
          <cell r="B190" t="str">
            <v>F2.15</v>
          </cell>
          <cell r="E190" t="str">
            <v>Supply and driving of steel sheet piles, type II</v>
          </cell>
          <cell r="F190" t="str">
            <v>m²</v>
          </cell>
          <cell r="G190">
            <v>300</v>
          </cell>
          <cell r="H190">
            <v>759138</v>
          </cell>
          <cell r="I190">
            <v>227741400</v>
          </cell>
          <cell r="J190" t="str">
            <v>TS.5.07</v>
          </cell>
        </row>
        <row r="191">
          <cell r="E191" t="str">
            <v>INFLATABLE RUBBER- MADE DAM</v>
          </cell>
        </row>
        <row r="192">
          <cell r="B192" t="str">
            <v>F2.16</v>
          </cell>
          <cell r="E192" t="str">
            <v>Inflatable rubber-made Dam including anchoring materials, operating</v>
          </cell>
          <cell r="F192" t="str">
            <v>ls</v>
          </cell>
          <cell r="G192">
            <v>1</v>
          </cell>
          <cell r="H192">
            <v>3144852113</v>
          </cell>
          <cell r="I192">
            <v>3144852113</v>
          </cell>
          <cell r="J192" t="str">
            <v>TS.10.13</v>
          </cell>
        </row>
        <row r="193">
          <cell r="E193" t="str">
            <v>and electric equipment</v>
          </cell>
        </row>
        <row r="194">
          <cell r="B194" t="str">
            <v>F3</v>
          </cell>
          <cell r="E194" t="str">
            <v>IRRIGATION INTAKE FACILITIES</v>
          </cell>
        </row>
        <row r="195">
          <cell r="B195">
            <v>0</v>
          </cell>
          <cell r="E195" t="str">
            <v>EARTH WORKS</v>
          </cell>
        </row>
        <row r="196">
          <cell r="B196" t="str">
            <v>F3.1</v>
          </cell>
          <cell r="E196" t="str">
            <v>Excavation (common)</v>
          </cell>
          <cell r="F196" t="str">
            <v>m³</v>
          </cell>
          <cell r="G196">
            <v>5980</v>
          </cell>
          <cell r="H196">
            <v>6921</v>
          </cell>
          <cell r="I196">
            <v>41387580</v>
          </cell>
          <cell r="J196" t="str">
            <v>TS.2.10</v>
          </cell>
        </row>
        <row r="197">
          <cell r="B197" t="str">
            <v>F3.2</v>
          </cell>
          <cell r="E197" t="str">
            <v>Backfill with selected soil</v>
          </cell>
          <cell r="F197" t="str">
            <v>m³</v>
          </cell>
          <cell r="G197">
            <v>16800</v>
          </cell>
          <cell r="H197">
            <v>5530</v>
          </cell>
          <cell r="I197">
            <v>92904000</v>
          </cell>
          <cell r="J197" t="str">
            <v>TS.2.10</v>
          </cell>
        </row>
        <row r="198">
          <cell r="E198" t="str">
            <v>CONCRETE WORKS</v>
          </cell>
        </row>
        <row r="199">
          <cell r="B199" t="str">
            <v>F3.3</v>
          </cell>
          <cell r="E199" t="str">
            <v>Concrete, type C1 for irrigation intake facilities and bridge pier</v>
          </cell>
          <cell r="F199" t="str">
            <v>m³</v>
          </cell>
          <cell r="G199">
            <v>970</v>
          </cell>
          <cell r="H199">
            <v>310795</v>
          </cell>
          <cell r="I199">
            <v>301471150</v>
          </cell>
          <cell r="J199" t="str">
            <v>TS.3.24</v>
          </cell>
        </row>
        <row r="200">
          <cell r="B200" t="str">
            <v>F3.4</v>
          </cell>
          <cell r="E200" t="str">
            <v>Concrete, type C2 for block-out concrete for gate post</v>
          </cell>
          <cell r="F200" t="str">
            <v>m³</v>
          </cell>
          <cell r="G200">
            <v>7</v>
          </cell>
          <cell r="H200">
            <v>358031</v>
          </cell>
          <cell r="I200">
            <v>2506217</v>
          </cell>
          <cell r="J200" t="str">
            <v>TS.3.24</v>
          </cell>
        </row>
        <row r="201">
          <cell r="B201" t="str">
            <v>F3.5</v>
          </cell>
          <cell r="E201" t="str">
            <v>Concrete, type E</v>
          </cell>
          <cell r="F201" t="str">
            <v>m³</v>
          </cell>
          <cell r="G201">
            <v>59</v>
          </cell>
          <cell r="H201">
            <v>284696</v>
          </cell>
          <cell r="I201">
            <v>16797064</v>
          </cell>
          <cell r="J201" t="str">
            <v>TS.3.24</v>
          </cell>
        </row>
        <row r="202">
          <cell r="B202" t="str">
            <v>F3.6</v>
          </cell>
          <cell r="E202" t="str">
            <v>Form work FW1</v>
          </cell>
          <cell r="F202" t="str">
            <v>m²</v>
          </cell>
          <cell r="G202">
            <v>1790</v>
          </cell>
          <cell r="H202">
            <v>70833</v>
          </cell>
          <cell r="I202">
            <v>126791070</v>
          </cell>
          <cell r="J202" t="str">
            <v>TS.3.24</v>
          </cell>
        </row>
        <row r="203">
          <cell r="B203" t="str">
            <v>F3.7</v>
          </cell>
          <cell r="E203" t="str">
            <v>Form work FW2</v>
          </cell>
          <cell r="F203" t="str">
            <v>m²</v>
          </cell>
          <cell r="G203">
            <v>340</v>
          </cell>
          <cell r="H203">
            <v>84938</v>
          </cell>
          <cell r="I203">
            <v>28878920</v>
          </cell>
          <cell r="J203" t="str">
            <v>TS.3.24</v>
          </cell>
        </row>
        <row r="204">
          <cell r="B204" t="str">
            <v>F3.8</v>
          </cell>
          <cell r="E204" t="str">
            <v>Reinforcing steel bar</v>
          </cell>
          <cell r="F204" t="str">
            <v>kg</v>
          </cell>
          <cell r="G204">
            <v>62700</v>
          </cell>
          <cell r="H204">
            <v>3554</v>
          </cell>
          <cell r="I204">
            <v>222835800</v>
          </cell>
          <cell r="J204" t="str">
            <v>TS.3.24</v>
          </cell>
        </row>
        <row r="205">
          <cell r="B205" t="str">
            <v>F3.9</v>
          </cell>
          <cell r="E205" t="str">
            <v>Elastic joint filler, 10 mm thick</v>
          </cell>
          <cell r="F205" t="str">
            <v>m²</v>
          </cell>
          <cell r="G205">
            <v>92</v>
          </cell>
          <cell r="H205">
            <v>107210</v>
          </cell>
          <cell r="I205">
            <v>9863320</v>
          </cell>
          <cell r="J205" t="str">
            <v>TS.3.24</v>
          </cell>
        </row>
        <row r="206">
          <cell r="B206" t="str">
            <v>F3.10</v>
          </cell>
          <cell r="E206" t="str">
            <v>Water stop, 30 cm wide</v>
          </cell>
          <cell r="F206" t="str">
            <v>m</v>
          </cell>
          <cell r="G206">
            <v>110</v>
          </cell>
          <cell r="H206">
            <v>128471</v>
          </cell>
          <cell r="I206">
            <v>14131810</v>
          </cell>
          <cell r="J206" t="str">
            <v>TS.3.24</v>
          </cell>
        </row>
        <row r="207">
          <cell r="B207" t="str">
            <v>F3.11</v>
          </cell>
          <cell r="E207" t="str">
            <v>Dowel bars, dia. 19 mm, 1.0 m long</v>
          </cell>
          <cell r="F207" t="str">
            <v>kg</v>
          </cell>
          <cell r="G207">
            <v>470</v>
          </cell>
          <cell r="H207">
            <v>11285</v>
          </cell>
          <cell r="I207">
            <v>5303950</v>
          </cell>
          <cell r="J207" t="str">
            <v>TS.3.24</v>
          </cell>
        </row>
        <row r="208">
          <cell r="E208" t="str">
            <v>PILE WORKS</v>
          </cell>
        </row>
        <row r="209">
          <cell r="B209" t="str">
            <v>F3.12</v>
          </cell>
          <cell r="E209" t="str">
            <v>Supply and driving of PC piles, dia. 600 mm, type AB</v>
          </cell>
          <cell r="F209" t="str">
            <v>m</v>
          </cell>
          <cell r="G209">
            <v>441</v>
          </cell>
          <cell r="H209">
            <v>361803</v>
          </cell>
          <cell r="I209">
            <v>159555123</v>
          </cell>
          <cell r="J209" t="str">
            <v>TS.5.07</v>
          </cell>
        </row>
        <row r="210">
          <cell r="B210" t="str">
            <v>F3.13</v>
          </cell>
          <cell r="E210" t="str">
            <v>Supply and driving of steel sheet piles, type II</v>
          </cell>
          <cell r="F210" t="str">
            <v>m²</v>
          </cell>
          <cell r="G210">
            <v>172</v>
          </cell>
          <cell r="H210">
            <v>754167</v>
          </cell>
          <cell r="I210">
            <v>129716724</v>
          </cell>
          <cell r="J210" t="str">
            <v>TS.5.07</v>
          </cell>
        </row>
        <row r="211">
          <cell r="B211" t="str">
            <v>F3.14</v>
          </cell>
          <cell r="E211" t="str">
            <v>Log pile</v>
          </cell>
          <cell r="F211" t="str">
            <v>m</v>
          </cell>
          <cell r="G211">
            <v>381</v>
          </cell>
          <cell r="H211">
            <v>7918</v>
          </cell>
          <cell r="I211">
            <v>3016758</v>
          </cell>
          <cell r="J211" t="str">
            <v>TS.5.07</v>
          </cell>
        </row>
        <row r="212">
          <cell r="E212" t="str">
            <v>CONTROL GATES</v>
          </cell>
        </row>
        <row r="213">
          <cell r="B213" t="str">
            <v>F3.15</v>
          </cell>
          <cell r="E213" t="str">
            <v>Supply and installation of steel slide gate (H=1.0 m, B=1.25 m x 2)</v>
          </cell>
          <cell r="F213" t="str">
            <v>ls</v>
          </cell>
          <cell r="G213">
            <v>1</v>
          </cell>
          <cell r="H213">
            <v>19711400</v>
          </cell>
          <cell r="I213">
            <v>19711400</v>
          </cell>
          <cell r="J213" t="str">
            <v>TS.9.09</v>
          </cell>
        </row>
        <row r="214">
          <cell r="B214" t="str">
            <v>F3.16</v>
          </cell>
          <cell r="E214" t="str">
            <v>Supply and installation of steel slide gate (H=1.0 m, B=1.0 m x 2)</v>
          </cell>
          <cell r="F214" t="str">
            <v>ls</v>
          </cell>
          <cell r="G214">
            <v>1</v>
          </cell>
          <cell r="H214">
            <v>18266872</v>
          </cell>
          <cell r="I214">
            <v>18266872</v>
          </cell>
          <cell r="J214" t="str">
            <v>TS.9.09</v>
          </cell>
        </row>
        <row r="215">
          <cell r="E215" t="str">
            <v>IRRIGATION CHANNEL LINING</v>
          </cell>
        </row>
        <row r="216">
          <cell r="B216" t="str">
            <v>F3.17</v>
          </cell>
          <cell r="E216" t="str">
            <v>Wet stone masonry (1:4) for revetment</v>
          </cell>
          <cell r="F216" t="str">
            <v>m³</v>
          </cell>
          <cell r="G216">
            <v>454</v>
          </cell>
          <cell r="H216">
            <v>163909</v>
          </cell>
          <cell r="I216">
            <v>74414686</v>
          </cell>
          <cell r="J216" t="str">
            <v>TS.4.14</v>
          </cell>
        </row>
        <row r="217">
          <cell r="B217" t="str">
            <v>F3.18</v>
          </cell>
          <cell r="E217" t="str">
            <v>Crusher run bedding</v>
          </cell>
          <cell r="F217" t="str">
            <v>m³</v>
          </cell>
          <cell r="G217">
            <v>440</v>
          </cell>
          <cell r="H217">
            <v>128530</v>
          </cell>
          <cell r="I217">
            <v>56553200</v>
          </cell>
          <cell r="J217" t="str">
            <v>TS.4.14</v>
          </cell>
        </row>
        <row r="218">
          <cell r="B218" t="str">
            <v>F3.19</v>
          </cell>
          <cell r="E218" t="str">
            <v>Concrete, type C1 for base concrete</v>
          </cell>
          <cell r="F218" t="str">
            <v>m³</v>
          </cell>
          <cell r="G218">
            <v>8</v>
          </cell>
          <cell r="H218">
            <v>352083</v>
          </cell>
          <cell r="I218">
            <v>2816664</v>
          </cell>
          <cell r="J218" t="str">
            <v>TS.3.24</v>
          </cell>
        </row>
        <row r="219">
          <cell r="B219" t="str">
            <v>F3.20</v>
          </cell>
          <cell r="E219" t="str">
            <v>Concrete, type C2 for top concrete and channel bed lining</v>
          </cell>
          <cell r="F219" t="str">
            <v>m³</v>
          </cell>
          <cell r="G219">
            <v>200</v>
          </cell>
          <cell r="H219">
            <v>312117</v>
          </cell>
          <cell r="I219">
            <v>62423400</v>
          </cell>
          <cell r="J219" t="str">
            <v>TS.3.24</v>
          </cell>
        </row>
        <row r="220">
          <cell r="B220" t="str">
            <v>F3.21</v>
          </cell>
          <cell r="E220" t="str">
            <v>Cement mortar plastering</v>
          </cell>
          <cell r="F220" t="str">
            <v>m²</v>
          </cell>
          <cell r="G220">
            <v>1700</v>
          </cell>
          <cell r="H220">
            <v>12274</v>
          </cell>
          <cell r="I220">
            <v>20865800</v>
          </cell>
          <cell r="J220" t="str">
            <v>TS.4.14</v>
          </cell>
        </row>
        <row r="221">
          <cell r="B221" t="str">
            <v>F3.22</v>
          </cell>
          <cell r="E221" t="str">
            <v>Formwork FW1</v>
          </cell>
          <cell r="F221" t="str">
            <v>m²</v>
          </cell>
          <cell r="G221">
            <v>860</v>
          </cell>
          <cell r="H221">
            <v>70833</v>
          </cell>
          <cell r="I221">
            <v>60916380</v>
          </cell>
          <cell r="J221" t="str">
            <v>TS.3.24</v>
          </cell>
        </row>
        <row r="222">
          <cell r="B222" t="str">
            <v>F3.23</v>
          </cell>
          <cell r="E222" t="str">
            <v>Reinforcing steel bar</v>
          </cell>
          <cell r="F222" t="str">
            <v>kg</v>
          </cell>
          <cell r="G222">
            <v>4620</v>
          </cell>
          <cell r="H222">
            <v>3554</v>
          </cell>
          <cell r="I222">
            <v>16419480</v>
          </cell>
          <cell r="J222" t="str">
            <v>TS.3.24</v>
          </cell>
        </row>
        <row r="223">
          <cell r="B223" t="str">
            <v>F3.24</v>
          </cell>
          <cell r="E223" t="str">
            <v>PVC pipe drain, dia.50 mm (240 nos x 0.4 m)</v>
          </cell>
          <cell r="F223" t="str">
            <v>m</v>
          </cell>
          <cell r="G223">
            <v>100</v>
          </cell>
          <cell r="H223">
            <v>47666</v>
          </cell>
          <cell r="I223">
            <v>4766600</v>
          </cell>
          <cell r="J223" t="str">
            <v>TS.4.05</v>
          </cell>
        </row>
        <row r="224">
          <cell r="B224" t="str">
            <v>F3.25</v>
          </cell>
          <cell r="E224" t="str">
            <v>Elastic joint filler, 10 mm thick</v>
          </cell>
          <cell r="F224" t="str">
            <v>m²</v>
          </cell>
          <cell r="G224">
            <v>100</v>
          </cell>
          <cell r="H224">
            <v>107210</v>
          </cell>
          <cell r="I224">
            <v>10721000</v>
          </cell>
          <cell r="J224" t="str">
            <v>TS.3.24</v>
          </cell>
        </row>
        <row r="225">
          <cell r="B225" t="str">
            <v>F4</v>
          </cell>
          <cell r="E225" t="str">
            <v>CHANNEL PROTECTION WORKS</v>
          </cell>
        </row>
        <row r="226">
          <cell r="B226" t="str">
            <v>F4.1</v>
          </cell>
          <cell r="E226" t="str">
            <v>Excavation (common)</v>
          </cell>
          <cell r="F226" t="str">
            <v>m³</v>
          </cell>
          <cell r="G226">
            <v>200</v>
          </cell>
          <cell r="H226">
            <v>6921</v>
          </cell>
          <cell r="I226">
            <v>1384200</v>
          </cell>
          <cell r="J226" t="str">
            <v>TS.2.10</v>
          </cell>
        </row>
        <row r="227">
          <cell r="B227" t="str">
            <v>F4.2</v>
          </cell>
          <cell r="E227" t="str">
            <v>Concrete blok, crib type, t = 200 mm</v>
          </cell>
          <cell r="F227" t="str">
            <v>nos</v>
          </cell>
          <cell r="G227">
            <v>390</v>
          </cell>
          <cell r="H227">
            <v>133220</v>
          </cell>
          <cell r="I227">
            <v>51955800</v>
          </cell>
          <cell r="J227" t="str">
            <v>TS.4.14</v>
          </cell>
        </row>
        <row r="228">
          <cell r="B228" t="str">
            <v>F4.3</v>
          </cell>
          <cell r="E228" t="str">
            <v>Crusher run bedding</v>
          </cell>
          <cell r="F228" t="str">
            <v>m³</v>
          </cell>
          <cell r="G228">
            <v>39</v>
          </cell>
          <cell r="H228">
            <v>128530</v>
          </cell>
          <cell r="I228">
            <v>5012670</v>
          </cell>
          <cell r="J228" t="str">
            <v>TS.4.14</v>
          </cell>
        </row>
        <row r="229">
          <cell r="B229" t="str">
            <v>F5</v>
          </cell>
          <cell r="E229" t="str">
            <v>MAINTENANCE FACILITIES</v>
          </cell>
        </row>
        <row r="230">
          <cell r="E230" t="str">
            <v>INSPECTION BRIDGE (SUPER STRUCTURE)</v>
          </cell>
        </row>
        <row r="231">
          <cell r="B231" t="str">
            <v>F5.1</v>
          </cell>
          <cell r="E231" t="str">
            <v>Concrete, type C2 for substructures</v>
          </cell>
          <cell r="F231" t="str">
            <v>m³</v>
          </cell>
          <cell r="G231">
            <v>43</v>
          </cell>
          <cell r="H231">
            <v>318197</v>
          </cell>
          <cell r="I231">
            <v>13682471</v>
          </cell>
          <cell r="J231" t="str">
            <v>TS.3.24</v>
          </cell>
        </row>
        <row r="232">
          <cell r="B232" t="str">
            <v>F5.2</v>
          </cell>
          <cell r="E232" t="str">
            <v>Concrete, type E</v>
          </cell>
          <cell r="F232" t="str">
            <v>m³</v>
          </cell>
          <cell r="G232">
            <v>4</v>
          </cell>
          <cell r="H232">
            <v>323505</v>
          </cell>
          <cell r="I232">
            <v>1294020</v>
          </cell>
          <cell r="J232" t="str">
            <v>TS.3.24</v>
          </cell>
        </row>
        <row r="233">
          <cell r="B233" t="str">
            <v>F5.3</v>
          </cell>
          <cell r="E233" t="str">
            <v>Formwork FW1</v>
          </cell>
          <cell r="F233" t="str">
            <v>m²</v>
          </cell>
          <cell r="G233">
            <v>1790</v>
          </cell>
          <cell r="H233">
            <v>70833</v>
          </cell>
          <cell r="I233">
            <v>126791070</v>
          </cell>
          <cell r="J233" t="str">
            <v>TS.3.24</v>
          </cell>
        </row>
        <row r="234">
          <cell r="B234" t="str">
            <v>F5.4</v>
          </cell>
          <cell r="E234" t="str">
            <v>Formwork FW2</v>
          </cell>
          <cell r="F234" t="str">
            <v>m²</v>
          </cell>
          <cell r="G234">
            <v>340</v>
          </cell>
          <cell r="H234">
            <v>84938</v>
          </cell>
          <cell r="I234">
            <v>28878920</v>
          </cell>
          <cell r="J234" t="str">
            <v>TS.3.24</v>
          </cell>
        </row>
        <row r="235">
          <cell r="B235" t="str">
            <v>F5.5</v>
          </cell>
          <cell r="E235" t="str">
            <v>Reinforcing steel bars</v>
          </cell>
          <cell r="F235" t="str">
            <v>kg</v>
          </cell>
          <cell r="G235">
            <v>5390</v>
          </cell>
          <cell r="H235">
            <v>3554</v>
          </cell>
          <cell r="I235">
            <v>19156060</v>
          </cell>
          <cell r="J235" t="str">
            <v>TS.3.24</v>
          </cell>
        </row>
        <row r="236">
          <cell r="B236" t="str">
            <v>F5.6</v>
          </cell>
          <cell r="E236" t="str">
            <v>Steel plate girder</v>
          </cell>
          <cell r="F236" t="str">
            <v>ls</v>
          </cell>
          <cell r="G236">
            <v>1</v>
          </cell>
          <cell r="H236">
            <v>239189979</v>
          </cell>
          <cell r="I236">
            <v>239189979</v>
          </cell>
          <cell r="J236" t="str">
            <v>TS.8.07</v>
          </cell>
        </row>
        <row r="237">
          <cell r="B237" t="str">
            <v>F5.7</v>
          </cell>
          <cell r="E237" t="str">
            <v>Supply and driving of RC piles, 400 mm x 400 mm, L = 15 m</v>
          </cell>
          <cell r="F237" t="str">
            <v>m</v>
          </cell>
          <cell r="G237">
            <v>360</v>
          </cell>
          <cell r="H237">
            <v>192728</v>
          </cell>
          <cell r="I237">
            <v>69382080</v>
          </cell>
          <cell r="J237" t="str">
            <v>TS.5.07</v>
          </cell>
        </row>
        <row r="238">
          <cell r="E238" t="str">
            <v>CONTROL HOUSE</v>
          </cell>
        </row>
        <row r="239">
          <cell r="B239" t="str">
            <v>F5.8</v>
          </cell>
          <cell r="E239" t="str">
            <v>Control house</v>
          </cell>
          <cell r="F239" t="str">
            <v>ls</v>
          </cell>
          <cell r="G239">
            <v>1</v>
          </cell>
          <cell r="H239">
            <v>21215310</v>
          </cell>
          <cell r="I239">
            <v>21215310</v>
          </cell>
          <cell r="J239" t="str">
            <v>TS.10.13</v>
          </cell>
        </row>
        <row r="241">
          <cell r="B241" t="str">
            <v>G1 - G3</v>
          </cell>
          <cell r="E241" t="str">
            <v>(Not Applicable)</v>
          </cell>
        </row>
        <row r="243">
          <cell r="B243" t="str">
            <v>H</v>
          </cell>
          <cell r="E243" t="str">
            <v>BRIDGE WORKS</v>
          </cell>
        </row>
        <row r="244">
          <cell r="B244" t="str">
            <v>H1</v>
          </cell>
          <cell r="E244" t="str">
            <v>PREPARATION WORKS</v>
          </cell>
        </row>
        <row r="245">
          <cell r="B245" t="str">
            <v>H1-1</v>
          </cell>
          <cell r="E245" t="str">
            <v>Coffering and dewatering</v>
          </cell>
          <cell r="F245" t="str">
            <v>ls</v>
          </cell>
          <cell r="G245">
            <v>1</v>
          </cell>
          <cell r="H245">
            <v>101635586</v>
          </cell>
          <cell r="I245">
            <v>101635586</v>
          </cell>
          <cell r="J245" t="str">
            <v>TS.1.04</v>
          </cell>
        </row>
        <row r="246">
          <cell r="B246" t="str">
            <v>H1-2</v>
          </cell>
          <cell r="E246" t="str">
            <v>Clearing and grubbing</v>
          </cell>
          <cell r="F246" t="str">
            <v>m²</v>
          </cell>
          <cell r="G246">
            <v>3030</v>
          </cell>
          <cell r="H246">
            <v>4019</v>
          </cell>
          <cell r="I246">
            <v>12177570</v>
          </cell>
          <cell r="J246" t="str">
            <v>TS.2.10</v>
          </cell>
        </row>
        <row r="247">
          <cell r="B247" t="str">
            <v>H2</v>
          </cell>
          <cell r="E247" t="str">
            <v>TITI BESI BRIDGE (P1)</v>
          </cell>
        </row>
        <row r="248">
          <cell r="B248" t="str">
            <v>H2.1</v>
          </cell>
          <cell r="E248" t="str">
            <v>EARTH WORKS</v>
          </cell>
        </row>
        <row r="249">
          <cell r="B249" t="str">
            <v>H2-1.1</v>
          </cell>
          <cell r="E249" t="str">
            <v>Excavation (common)</v>
          </cell>
          <cell r="F249" t="str">
            <v>m³</v>
          </cell>
          <cell r="G249">
            <v>1810</v>
          </cell>
          <cell r="H249">
            <v>6921</v>
          </cell>
          <cell r="I249">
            <v>12527010</v>
          </cell>
          <cell r="J249" t="str">
            <v>TS.2.10</v>
          </cell>
        </row>
        <row r="250">
          <cell r="B250" t="str">
            <v>H2-1.2</v>
          </cell>
          <cell r="E250" t="str">
            <v>Embankment</v>
          </cell>
          <cell r="F250" t="str">
            <v>m³</v>
          </cell>
          <cell r="G250">
            <v>4320</v>
          </cell>
          <cell r="H250">
            <v>5574</v>
          </cell>
          <cell r="I250">
            <v>24079680</v>
          </cell>
          <cell r="J250" t="str">
            <v>TS.2.10</v>
          </cell>
        </row>
        <row r="251">
          <cell r="B251" t="str">
            <v>H2-1.3</v>
          </cell>
          <cell r="E251" t="str">
            <v>Backfill with selected soil</v>
          </cell>
          <cell r="F251" t="str">
            <v>m³</v>
          </cell>
          <cell r="G251">
            <v>900</v>
          </cell>
          <cell r="H251">
            <v>5530</v>
          </cell>
          <cell r="I251">
            <v>4977000</v>
          </cell>
          <cell r="J251" t="str">
            <v>TS.2.10</v>
          </cell>
        </row>
        <row r="252">
          <cell r="B252" t="str">
            <v>H2-1.4</v>
          </cell>
          <cell r="E252" t="str">
            <v>Solid sodding</v>
          </cell>
          <cell r="F252" t="str">
            <v>m²</v>
          </cell>
          <cell r="G252">
            <v>610</v>
          </cell>
          <cell r="H252">
            <v>6139</v>
          </cell>
          <cell r="I252">
            <v>3744790</v>
          </cell>
          <cell r="J252" t="str">
            <v>TS.4.14</v>
          </cell>
        </row>
        <row r="253">
          <cell r="B253" t="str">
            <v>H2-1.5</v>
          </cell>
          <cell r="E253" t="str">
            <v>Demolition and removal of existing structure</v>
          </cell>
          <cell r="F253" t="str">
            <v>ls</v>
          </cell>
          <cell r="G253">
            <v>1</v>
          </cell>
          <cell r="H253">
            <v>31972850</v>
          </cell>
          <cell r="I253">
            <v>31972850</v>
          </cell>
          <cell r="J253" t="str">
            <v>TS.2.10</v>
          </cell>
        </row>
        <row r="254">
          <cell r="B254" t="str">
            <v>H2.2</v>
          </cell>
          <cell r="E254" t="str">
            <v>PILE FOUNDATION WORKS for PIER and ABUTMENT</v>
          </cell>
        </row>
        <row r="255">
          <cell r="B255" t="str">
            <v>H2-2.1</v>
          </cell>
          <cell r="E255" t="str">
            <v>SP pile for test pile, dia. 400 mm</v>
          </cell>
          <cell r="F255" t="str">
            <v>m</v>
          </cell>
          <cell r="G255">
            <v>19</v>
          </cell>
          <cell r="H255">
            <v>366915</v>
          </cell>
          <cell r="I255">
            <v>6971385</v>
          </cell>
          <cell r="J255" t="str">
            <v>TS.5.07</v>
          </cell>
        </row>
        <row r="256">
          <cell r="B256" t="str">
            <v>H2-2.2</v>
          </cell>
          <cell r="E256" t="str">
            <v>PC pile for test pile, dia. 400 mm, type B</v>
          </cell>
          <cell r="F256" t="str">
            <v>m</v>
          </cell>
          <cell r="G256">
            <v>16</v>
          </cell>
          <cell r="H256">
            <v>142967</v>
          </cell>
          <cell r="I256">
            <v>2287472</v>
          </cell>
          <cell r="J256" t="str">
            <v>TS.5.07</v>
          </cell>
        </row>
        <row r="257">
          <cell r="B257" t="str">
            <v>H2-2.3</v>
          </cell>
          <cell r="E257" t="str">
            <v>Static load test for SP and PC pile</v>
          </cell>
          <cell r="F257" t="str">
            <v>nos</v>
          </cell>
          <cell r="G257">
            <v>1</v>
          </cell>
          <cell r="H257">
            <v>19983031</v>
          </cell>
          <cell r="I257">
            <v>19983031</v>
          </cell>
          <cell r="J257" t="str">
            <v>TS.5.07</v>
          </cell>
        </row>
        <row r="258">
          <cell r="B258" t="str">
            <v>H2-2.4</v>
          </cell>
          <cell r="E258" t="str">
            <v>Supply and driving of SP piles, dia. 400 mm</v>
          </cell>
          <cell r="F258" t="str">
            <v>m</v>
          </cell>
          <cell r="G258">
            <v>990</v>
          </cell>
          <cell r="H258">
            <v>366915</v>
          </cell>
          <cell r="I258">
            <v>363245850</v>
          </cell>
          <cell r="J258" t="str">
            <v>TS.5.07</v>
          </cell>
        </row>
        <row r="259">
          <cell r="B259" t="str">
            <v>H2-2.5</v>
          </cell>
          <cell r="E259" t="str">
            <v>Supply and driving of PC piles, dia. 400 mm, type B</v>
          </cell>
          <cell r="F259" t="str">
            <v>m</v>
          </cell>
          <cell r="G259">
            <v>900</v>
          </cell>
          <cell r="H259">
            <v>142967</v>
          </cell>
          <cell r="I259">
            <v>128670300</v>
          </cell>
          <cell r="J259" t="str">
            <v>TS.5.07</v>
          </cell>
        </row>
        <row r="260">
          <cell r="B260" t="str">
            <v>H2-2.6</v>
          </cell>
          <cell r="E260" t="str">
            <v>Reinforcing steel bar</v>
          </cell>
          <cell r="F260" t="str">
            <v>kg</v>
          </cell>
          <cell r="G260">
            <v>14500</v>
          </cell>
          <cell r="H260">
            <v>3554</v>
          </cell>
          <cell r="I260">
            <v>51533000</v>
          </cell>
          <cell r="J260" t="str">
            <v>TS.3.24</v>
          </cell>
        </row>
        <row r="261">
          <cell r="B261" t="str">
            <v>H2-2.7</v>
          </cell>
          <cell r="E261" t="str">
            <v>Concrete, type C1</v>
          </cell>
          <cell r="F261" t="str">
            <v>m³</v>
          </cell>
          <cell r="G261">
            <v>51</v>
          </cell>
          <cell r="H261">
            <v>316982</v>
          </cell>
          <cell r="I261">
            <v>16166082</v>
          </cell>
          <cell r="J261" t="str">
            <v>TS.3.24</v>
          </cell>
        </row>
        <row r="262">
          <cell r="B262" t="str">
            <v>H2.3</v>
          </cell>
          <cell r="E262" t="str">
            <v>CONCRETE WORKS  for PIER, ABUTMENT and APPROACH SLAB</v>
          </cell>
        </row>
        <row r="263">
          <cell r="B263" t="str">
            <v>H2-3.1</v>
          </cell>
          <cell r="E263" t="str">
            <v>Concrete, type C1</v>
          </cell>
          <cell r="F263" t="str">
            <v>m³</v>
          </cell>
          <cell r="G263">
            <v>500</v>
          </cell>
          <cell r="H263">
            <v>314524</v>
          </cell>
          <cell r="I263">
            <v>157262000</v>
          </cell>
          <cell r="J263" t="str">
            <v>TS.3.24</v>
          </cell>
        </row>
        <row r="264">
          <cell r="B264" t="str">
            <v>H2-3.2</v>
          </cell>
          <cell r="E264" t="str">
            <v>Concrete, type E</v>
          </cell>
          <cell r="F264" t="str">
            <v>m³</v>
          </cell>
          <cell r="G264">
            <v>22</v>
          </cell>
          <cell r="H264">
            <v>289443</v>
          </cell>
          <cell r="I264">
            <v>6367746</v>
          </cell>
          <cell r="J264" t="str">
            <v>TS.3.24</v>
          </cell>
        </row>
        <row r="265">
          <cell r="B265" t="str">
            <v>H2-3.3</v>
          </cell>
          <cell r="E265" t="str">
            <v>Reinforcing steel bar</v>
          </cell>
          <cell r="F265" t="str">
            <v>kg</v>
          </cell>
          <cell r="G265">
            <v>74900</v>
          </cell>
          <cell r="H265">
            <v>3554</v>
          </cell>
          <cell r="I265">
            <v>266194600</v>
          </cell>
          <cell r="J265" t="str">
            <v>TS.3.24</v>
          </cell>
        </row>
        <row r="266">
          <cell r="B266" t="str">
            <v>H2-3.4</v>
          </cell>
          <cell r="E266" t="str">
            <v>Formwork FW1</v>
          </cell>
          <cell r="F266" t="str">
            <v>m²</v>
          </cell>
          <cell r="G266">
            <v>340</v>
          </cell>
          <cell r="H266">
            <v>70833</v>
          </cell>
          <cell r="I266">
            <v>24083220</v>
          </cell>
          <cell r="J266" t="str">
            <v>TS.3.24</v>
          </cell>
        </row>
        <row r="267">
          <cell r="B267" t="str">
            <v>H2-3.5</v>
          </cell>
          <cell r="E267" t="str">
            <v>Formwork FW2</v>
          </cell>
          <cell r="F267" t="str">
            <v>m²</v>
          </cell>
          <cell r="G267">
            <v>460</v>
          </cell>
          <cell r="H267">
            <v>84938</v>
          </cell>
          <cell r="I267">
            <v>39071480</v>
          </cell>
          <cell r="J267" t="str">
            <v>TS.3.24</v>
          </cell>
        </row>
        <row r="268">
          <cell r="B268" t="str">
            <v>H2-3.6</v>
          </cell>
          <cell r="E268" t="str">
            <v>Rubble stone bedding</v>
          </cell>
          <cell r="F268" t="str">
            <v>m³</v>
          </cell>
          <cell r="G268">
            <v>46</v>
          </cell>
          <cell r="H268">
            <v>75157</v>
          </cell>
          <cell r="I268">
            <v>3457222</v>
          </cell>
          <cell r="J268" t="str">
            <v>TS.4.14</v>
          </cell>
        </row>
        <row r="269">
          <cell r="B269" t="str">
            <v>H2.4</v>
          </cell>
          <cell r="E269" t="str">
            <v>CONCRETE WORKS for SUPER STRUCTURE</v>
          </cell>
        </row>
        <row r="270">
          <cell r="B270" t="str">
            <v>H2-4.1</v>
          </cell>
          <cell r="E270" t="str">
            <v>Precast prestressed concrete beam including tensioning and erection</v>
          </cell>
          <cell r="F270" t="str">
            <v>ls</v>
          </cell>
          <cell r="G270">
            <v>1</v>
          </cell>
          <cell r="H270">
            <v>678092960</v>
          </cell>
          <cell r="I270">
            <v>678092960</v>
          </cell>
          <cell r="J270" t="str">
            <v>TS.8.07</v>
          </cell>
        </row>
        <row r="271">
          <cell r="B271" t="str">
            <v>H2-4.2</v>
          </cell>
          <cell r="E271" t="str">
            <v>Precast prestressed concrete diaphragm</v>
          </cell>
          <cell r="F271" t="str">
            <v>ls</v>
          </cell>
          <cell r="G271">
            <v>1</v>
          </cell>
          <cell r="H271">
            <v>20168232</v>
          </cell>
          <cell r="I271">
            <v>20168232</v>
          </cell>
          <cell r="J271" t="str">
            <v>TS.8.07</v>
          </cell>
        </row>
        <row r="272">
          <cell r="B272" t="str">
            <v>H2-4.3</v>
          </cell>
          <cell r="E272" t="str">
            <v>Prestressed concrete panel for slab</v>
          </cell>
          <cell r="F272" t="str">
            <v>ls</v>
          </cell>
          <cell r="G272">
            <v>1</v>
          </cell>
          <cell r="H272">
            <v>109406928</v>
          </cell>
          <cell r="I272">
            <v>109406928</v>
          </cell>
          <cell r="J272" t="str">
            <v>TS.8.07</v>
          </cell>
        </row>
        <row r="273">
          <cell r="B273" t="str">
            <v>H2-4.4</v>
          </cell>
          <cell r="E273" t="str">
            <v>Concrete, type B for slab</v>
          </cell>
          <cell r="F273" t="str">
            <v>m³</v>
          </cell>
          <cell r="G273">
            <v>190</v>
          </cell>
          <cell r="H273">
            <v>412435</v>
          </cell>
          <cell r="I273">
            <v>78362650</v>
          </cell>
          <cell r="J273" t="str">
            <v>TS.3.24</v>
          </cell>
        </row>
        <row r="274">
          <cell r="B274" t="str">
            <v>H2-4.5</v>
          </cell>
          <cell r="E274" t="str">
            <v>Reinforcing steel bar</v>
          </cell>
          <cell r="F274" t="str">
            <v>kg</v>
          </cell>
          <cell r="G274">
            <v>36500</v>
          </cell>
          <cell r="H274">
            <v>3554</v>
          </cell>
          <cell r="I274">
            <v>129721000</v>
          </cell>
          <cell r="J274" t="str">
            <v>TS.3.24</v>
          </cell>
        </row>
        <row r="275">
          <cell r="B275" t="str">
            <v>H2-4.6</v>
          </cell>
          <cell r="E275" t="str">
            <v>Formwork FW2</v>
          </cell>
          <cell r="F275" t="str">
            <v>m²</v>
          </cell>
          <cell r="G275">
            <v>360</v>
          </cell>
          <cell r="H275">
            <v>84938</v>
          </cell>
          <cell r="I275">
            <v>30577680</v>
          </cell>
          <cell r="J275" t="str">
            <v>TS.3.24</v>
          </cell>
        </row>
        <row r="276">
          <cell r="B276" t="str">
            <v>H2.5</v>
          </cell>
          <cell r="E276" t="str">
            <v>MISCELLANEOUS WORKS</v>
          </cell>
        </row>
        <row r="277">
          <cell r="B277" t="str">
            <v>H2-5.1</v>
          </cell>
          <cell r="E277" t="str">
            <v>Expansion joint steel profile (75 mm x 75 mm x 6 mm)</v>
          </cell>
          <cell r="F277" t="str">
            <v>m</v>
          </cell>
          <cell r="G277">
            <v>32</v>
          </cell>
          <cell r="H277">
            <v>79130</v>
          </cell>
          <cell r="I277">
            <v>2532160</v>
          </cell>
          <cell r="J277" t="str">
            <v>TS.6.09</v>
          </cell>
        </row>
        <row r="278">
          <cell r="B278" t="str">
            <v>H2-5.2</v>
          </cell>
          <cell r="E278" t="str">
            <v>Elastomeric bearing pad for abutment 406 mm x 280 mm x 67 mm</v>
          </cell>
          <cell r="F278" t="str">
            <v>nos</v>
          </cell>
          <cell r="G278">
            <v>11</v>
          </cell>
          <cell r="H278">
            <v>739517</v>
          </cell>
          <cell r="I278">
            <v>8134687</v>
          </cell>
          <cell r="J278" t="str">
            <v>TS.8.07</v>
          </cell>
        </row>
        <row r="279">
          <cell r="B279" t="str">
            <v>H2-5.3</v>
          </cell>
          <cell r="E279" t="str">
            <v>Elastomeric bearing pad for pier 406 mm x 280 mm x 67 mm</v>
          </cell>
          <cell r="F279" t="str">
            <v>nos</v>
          </cell>
          <cell r="G279">
            <v>22</v>
          </cell>
          <cell r="H279">
            <v>739517</v>
          </cell>
          <cell r="I279">
            <v>16269374</v>
          </cell>
          <cell r="J279" t="str">
            <v>TS.8.07</v>
          </cell>
        </row>
        <row r="280">
          <cell r="B280" t="str">
            <v>H2-5.4</v>
          </cell>
          <cell r="E280" t="str">
            <v>Galvanized pipe drain dia. 100 mm</v>
          </cell>
          <cell r="F280" t="str">
            <v>m</v>
          </cell>
          <cell r="G280">
            <v>66</v>
          </cell>
          <cell r="H280">
            <v>83894</v>
          </cell>
          <cell r="I280">
            <v>5537004</v>
          </cell>
          <cell r="J280" t="str">
            <v>TS.8.07</v>
          </cell>
        </row>
        <row r="281">
          <cell r="B281" t="str">
            <v>H2-5.5</v>
          </cell>
          <cell r="E281" t="str">
            <v>Handrail, galvanized steel pipe</v>
          </cell>
          <cell r="F281" t="str">
            <v>kg</v>
          </cell>
          <cell r="G281">
            <v>4170</v>
          </cell>
          <cell r="H281">
            <v>6963</v>
          </cell>
          <cell r="I281">
            <v>29035710</v>
          </cell>
          <cell r="J281" t="str">
            <v>TS.6.09</v>
          </cell>
        </row>
        <row r="282">
          <cell r="B282" t="str">
            <v>H2-5.6</v>
          </cell>
          <cell r="E282" t="str">
            <v>Concrete, type C1 for handrail post, curb and footpass</v>
          </cell>
          <cell r="F282" t="str">
            <v>m³</v>
          </cell>
          <cell r="G282">
            <v>66</v>
          </cell>
          <cell r="H282">
            <v>315498</v>
          </cell>
          <cell r="I282">
            <v>20822868</v>
          </cell>
          <cell r="J282" t="str">
            <v>TS.3.24</v>
          </cell>
        </row>
        <row r="283">
          <cell r="B283" t="str">
            <v>H2-5.7</v>
          </cell>
          <cell r="E283" t="str">
            <v>Formwork FW1</v>
          </cell>
          <cell r="F283" t="str">
            <v>m²</v>
          </cell>
          <cell r="G283">
            <v>295</v>
          </cell>
          <cell r="H283">
            <v>70833</v>
          </cell>
          <cell r="I283">
            <v>20895735</v>
          </cell>
          <cell r="J283" t="str">
            <v>TS.3.24</v>
          </cell>
        </row>
        <row r="284">
          <cell r="B284" t="str">
            <v>H2-5.8</v>
          </cell>
          <cell r="E284" t="str">
            <v>Name plate</v>
          </cell>
          <cell r="F284" t="str">
            <v>nos</v>
          </cell>
          <cell r="G284">
            <v>2</v>
          </cell>
          <cell r="H284">
            <v>999152</v>
          </cell>
          <cell r="I284">
            <v>1998304</v>
          </cell>
          <cell r="J284" t="str">
            <v>TS.8.07</v>
          </cell>
        </row>
        <row r="285">
          <cell r="B285" t="str">
            <v>H2.6</v>
          </cell>
          <cell r="E285" t="str">
            <v>DRAINAGE DITCH and RETAINING WALL for APPROACH ROAD</v>
          </cell>
        </row>
        <row r="286">
          <cell r="B286" t="str">
            <v>H2-6.1</v>
          </cell>
          <cell r="E286" t="str">
            <v>Backfill with gravel</v>
          </cell>
          <cell r="F286" t="str">
            <v>m³</v>
          </cell>
          <cell r="G286">
            <v>110</v>
          </cell>
          <cell r="H286">
            <v>77757</v>
          </cell>
          <cell r="I286">
            <v>8553270</v>
          </cell>
          <cell r="J286" t="str">
            <v>TS.4.14</v>
          </cell>
        </row>
        <row r="287">
          <cell r="B287" t="str">
            <v>H2-6.2</v>
          </cell>
          <cell r="E287" t="str">
            <v>Wet stone masonry (1:4) for drainage ditch</v>
          </cell>
          <cell r="F287" t="str">
            <v>m³</v>
          </cell>
          <cell r="G287">
            <v>1190</v>
          </cell>
          <cell r="H287">
            <v>163909</v>
          </cell>
          <cell r="I287">
            <v>195051710</v>
          </cell>
          <cell r="J287" t="str">
            <v>TS.4.14</v>
          </cell>
        </row>
        <row r="288">
          <cell r="B288" t="str">
            <v>H2-6.3</v>
          </cell>
          <cell r="E288" t="str">
            <v>Cement mortar plastering</v>
          </cell>
          <cell r="F288" t="str">
            <v>m²</v>
          </cell>
          <cell r="G288">
            <v>990</v>
          </cell>
          <cell r="H288">
            <v>12274</v>
          </cell>
          <cell r="I288">
            <v>12151260</v>
          </cell>
          <cell r="J288" t="str">
            <v>TS.4.14</v>
          </cell>
        </row>
        <row r="289">
          <cell r="B289" t="str">
            <v>H2-6.4</v>
          </cell>
          <cell r="E289" t="str">
            <v>Concrete, type C1</v>
          </cell>
          <cell r="F289" t="str">
            <v>m³</v>
          </cell>
          <cell r="G289">
            <v>9</v>
          </cell>
          <cell r="H289">
            <v>347458</v>
          </cell>
          <cell r="I289">
            <v>3127122</v>
          </cell>
          <cell r="J289" t="str">
            <v>TS.3.24</v>
          </cell>
        </row>
        <row r="290">
          <cell r="B290" t="str">
            <v>H2-6.5</v>
          </cell>
          <cell r="E290" t="str">
            <v>Concrete, type E</v>
          </cell>
          <cell r="F290" t="str">
            <v>m³</v>
          </cell>
          <cell r="G290">
            <v>4</v>
          </cell>
          <cell r="H290">
            <v>323505</v>
          </cell>
          <cell r="I290">
            <v>1294020</v>
          </cell>
          <cell r="J290" t="str">
            <v>TS.3.24</v>
          </cell>
        </row>
        <row r="291">
          <cell r="B291" t="str">
            <v>H2-6.6</v>
          </cell>
          <cell r="E291" t="str">
            <v>Reinforcing steel bar</v>
          </cell>
          <cell r="F291" t="str">
            <v>kg</v>
          </cell>
          <cell r="G291">
            <v>1160</v>
          </cell>
          <cell r="H291">
            <v>3554</v>
          </cell>
          <cell r="I291">
            <v>4122640</v>
          </cell>
          <cell r="J291" t="str">
            <v>TS.3.24</v>
          </cell>
        </row>
        <row r="292">
          <cell r="B292" t="str">
            <v>H2-6.7</v>
          </cell>
          <cell r="E292" t="str">
            <v>Formwork FW1</v>
          </cell>
          <cell r="F292" t="str">
            <v>m²</v>
          </cell>
          <cell r="G292">
            <v>470</v>
          </cell>
          <cell r="H292">
            <v>70833</v>
          </cell>
          <cell r="I292">
            <v>33291510</v>
          </cell>
          <cell r="J292" t="str">
            <v>TS.3.24</v>
          </cell>
        </row>
        <row r="293">
          <cell r="B293" t="str">
            <v>H2-6.8</v>
          </cell>
          <cell r="E293" t="str">
            <v>Weep hole, dia. 50 mm, including filter clotch L = 1.5 m</v>
          </cell>
          <cell r="F293" t="str">
            <v>nos</v>
          </cell>
          <cell r="G293">
            <v>240</v>
          </cell>
          <cell r="H293">
            <v>72163</v>
          </cell>
          <cell r="I293">
            <v>17319120</v>
          </cell>
          <cell r="J293" t="str">
            <v>TS.4.14</v>
          </cell>
        </row>
        <row r="294">
          <cell r="B294" t="str">
            <v>H2.7</v>
          </cell>
          <cell r="E294" t="str">
            <v>PAVEMENT (SUPERSTRUCTURE and APPROACH ROAD : CLASS II)</v>
          </cell>
        </row>
        <row r="295">
          <cell r="B295" t="str">
            <v>H2-7.1</v>
          </cell>
          <cell r="E295" t="str">
            <v>Sub-base course (class B)</v>
          </cell>
          <cell r="F295" t="str">
            <v>m³</v>
          </cell>
          <cell r="G295">
            <v>220</v>
          </cell>
          <cell r="H295">
            <v>108708</v>
          </cell>
          <cell r="I295">
            <v>23915760</v>
          </cell>
          <cell r="J295" t="str">
            <v>TS.7.09</v>
          </cell>
        </row>
        <row r="296">
          <cell r="B296" t="str">
            <v>H2-7.2</v>
          </cell>
          <cell r="E296" t="str">
            <v>Base course (class A)</v>
          </cell>
          <cell r="F296" t="str">
            <v>m³</v>
          </cell>
          <cell r="G296">
            <v>100</v>
          </cell>
          <cell r="H296">
            <v>115502</v>
          </cell>
          <cell r="I296">
            <v>11550200</v>
          </cell>
          <cell r="J296" t="str">
            <v>TS.7.09</v>
          </cell>
        </row>
        <row r="297">
          <cell r="B297" t="str">
            <v>H2-7.3</v>
          </cell>
          <cell r="E297" t="str">
            <v>Asphalt treatment base (A.T.B)</v>
          </cell>
          <cell r="F297" t="str">
            <v>ton</v>
          </cell>
          <cell r="G297">
            <v>150</v>
          </cell>
          <cell r="H297">
            <v>319328</v>
          </cell>
          <cell r="I297">
            <v>47899200</v>
          </cell>
          <cell r="J297" t="str">
            <v>TS.7.09</v>
          </cell>
        </row>
        <row r="298">
          <cell r="B298" t="str">
            <v>H2-7.4</v>
          </cell>
          <cell r="E298" t="str">
            <v>Bituminous prime coat</v>
          </cell>
          <cell r="F298" t="str">
            <v>liter</v>
          </cell>
          <cell r="G298">
            <v>1550</v>
          </cell>
          <cell r="H298">
            <v>3737</v>
          </cell>
          <cell r="I298">
            <v>5792350</v>
          </cell>
          <cell r="J298" t="str">
            <v>TS.7.09</v>
          </cell>
        </row>
        <row r="299">
          <cell r="B299" t="str">
            <v>H2-7.5</v>
          </cell>
          <cell r="E299" t="str">
            <v>Bituminous surface course 50 mm thick</v>
          </cell>
          <cell r="F299" t="str">
            <v>ton</v>
          </cell>
          <cell r="G299">
            <v>150</v>
          </cell>
          <cell r="H299">
            <v>322726</v>
          </cell>
          <cell r="I299">
            <v>48408900</v>
          </cell>
          <cell r="J299" t="str">
            <v>TS.7.09</v>
          </cell>
        </row>
        <row r="300">
          <cell r="B300" t="str">
            <v>H3</v>
          </cell>
          <cell r="E300" t="str">
            <v>PERKUBUNAN BRIDGE (P2)</v>
          </cell>
        </row>
        <row r="301">
          <cell r="B301" t="str">
            <v>H3.1</v>
          </cell>
          <cell r="E301" t="str">
            <v>EARTH WORK</v>
          </cell>
        </row>
        <row r="302">
          <cell r="B302" t="str">
            <v>H3-1.1</v>
          </cell>
          <cell r="E302" t="str">
            <v>Excavation (common)</v>
          </cell>
          <cell r="F302" t="str">
            <v>m³</v>
          </cell>
          <cell r="G302">
            <v>2990</v>
          </cell>
          <cell r="H302">
            <v>6921</v>
          </cell>
          <cell r="I302">
            <v>20693790</v>
          </cell>
          <cell r="J302" t="str">
            <v>TS.2.10</v>
          </cell>
        </row>
        <row r="303">
          <cell r="B303" t="str">
            <v>H3-1.2</v>
          </cell>
          <cell r="E303" t="str">
            <v>Embankment</v>
          </cell>
          <cell r="F303" t="str">
            <v>m³</v>
          </cell>
          <cell r="G303">
            <v>4720</v>
          </cell>
          <cell r="H303">
            <v>5574</v>
          </cell>
          <cell r="I303">
            <v>26309280</v>
          </cell>
          <cell r="J303" t="str">
            <v>TS.2.10</v>
          </cell>
        </row>
        <row r="304">
          <cell r="B304" t="str">
            <v>H3-1.3</v>
          </cell>
          <cell r="E304" t="str">
            <v>Backfill with selected soil</v>
          </cell>
          <cell r="F304" t="str">
            <v>m³</v>
          </cell>
          <cell r="G304">
            <v>830</v>
          </cell>
          <cell r="H304">
            <v>5530</v>
          </cell>
          <cell r="I304">
            <v>4589900</v>
          </cell>
          <cell r="J304" t="str">
            <v>TS.2.10</v>
          </cell>
        </row>
        <row r="305">
          <cell r="B305" t="str">
            <v>H3-1.4</v>
          </cell>
          <cell r="E305" t="str">
            <v>Solid sodding</v>
          </cell>
          <cell r="F305" t="str">
            <v>m²</v>
          </cell>
          <cell r="G305">
            <v>640</v>
          </cell>
          <cell r="H305">
            <v>6139</v>
          </cell>
          <cell r="I305">
            <v>3928960</v>
          </cell>
          <cell r="J305" t="str">
            <v>TS.4.14</v>
          </cell>
        </row>
        <row r="306">
          <cell r="B306" t="str">
            <v>H3-1.5</v>
          </cell>
          <cell r="E306" t="str">
            <v>Demolition and removal of existing structure</v>
          </cell>
          <cell r="F306" t="str">
            <v>ls</v>
          </cell>
          <cell r="G306">
            <v>1</v>
          </cell>
          <cell r="H306">
            <v>20156373</v>
          </cell>
          <cell r="I306">
            <v>20156373</v>
          </cell>
          <cell r="J306" t="str">
            <v>TS.2.10</v>
          </cell>
        </row>
        <row r="307">
          <cell r="B307" t="str">
            <v>H3.2</v>
          </cell>
          <cell r="E307" t="str">
            <v>PILE FOUNDATION WORKS for PIER and ABUTMENT</v>
          </cell>
        </row>
        <row r="308">
          <cell r="B308" t="str">
            <v>H3-2.1</v>
          </cell>
          <cell r="E308" t="str">
            <v>SP pile for test pile, dia. 400 mm</v>
          </cell>
          <cell r="F308" t="str">
            <v>m</v>
          </cell>
          <cell r="G308">
            <v>20</v>
          </cell>
          <cell r="H308">
            <v>366915</v>
          </cell>
          <cell r="I308">
            <v>7338300</v>
          </cell>
          <cell r="J308" t="str">
            <v>TS.5.07</v>
          </cell>
        </row>
        <row r="309">
          <cell r="B309" t="str">
            <v>H3-2.2</v>
          </cell>
          <cell r="E309" t="str">
            <v>PC pile for test pile, dia. 400 mm, type B</v>
          </cell>
          <cell r="F309" t="str">
            <v>m</v>
          </cell>
          <cell r="G309">
            <v>20</v>
          </cell>
          <cell r="H309">
            <v>142967</v>
          </cell>
          <cell r="I309">
            <v>2859340</v>
          </cell>
          <cell r="J309" t="str">
            <v>TS.5.07</v>
          </cell>
        </row>
        <row r="310">
          <cell r="B310" t="str">
            <v>H3-2.3</v>
          </cell>
          <cell r="E310" t="str">
            <v>Static load test for SP and PC pile</v>
          </cell>
          <cell r="F310" t="str">
            <v>nos</v>
          </cell>
          <cell r="G310">
            <v>1</v>
          </cell>
          <cell r="H310">
            <v>19983031</v>
          </cell>
          <cell r="I310">
            <v>19983031</v>
          </cell>
          <cell r="J310" t="str">
            <v>TS.5.07</v>
          </cell>
        </row>
        <row r="311">
          <cell r="B311" t="str">
            <v>H3-2.4</v>
          </cell>
          <cell r="E311" t="str">
            <v>Supply and driving of SP piles, dia. 400 mm</v>
          </cell>
          <cell r="F311" t="str">
            <v>m</v>
          </cell>
          <cell r="G311">
            <v>480</v>
          </cell>
          <cell r="H311">
            <v>366915</v>
          </cell>
          <cell r="I311">
            <v>176119200</v>
          </cell>
          <cell r="J311" t="str">
            <v>TS.5.07</v>
          </cell>
        </row>
        <row r="312">
          <cell r="B312" t="str">
            <v>H3-2.5</v>
          </cell>
          <cell r="E312" t="str">
            <v>Supply and driving of PC piles, dia. 400 mm, type B</v>
          </cell>
          <cell r="F312" t="str">
            <v>m</v>
          </cell>
          <cell r="G312">
            <v>1150</v>
          </cell>
          <cell r="H312">
            <v>142967</v>
          </cell>
          <cell r="I312">
            <v>164412050</v>
          </cell>
          <cell r="J312" t="str">
            <v>TS.5.07</v>
          </cell>
        </row>
        <row r="313">
          <cell r="B313" t="str">
            <v>H3-2.6</v>
          </cell>
          <cell r="E313" t="str">
            <v>Reinforcing steel bar</v>
          </cell>
          <cell r="F313" t="str">
            <v>kg</v>
          </cell>
          <cell r="G313">
            <v>9820</v>
          </cell>
          <cell r="H313">
            <v>3554</v>
          </cell>
          <cell r="I313">
            <v>34900280</v>
          </cell>
          <cell r="J313" t="str">
            <v>TS.3.24</v>
          </cell>
        </row>
        <row r="314">
          <cell r="B314" t="str">
            <v>H3-2.7</v>
          </cell>
          <cell r="E314" t="str">
            <v>Concrete, type C1</v>
          </cell>
          <cell r="F314" t="str">
            <v>m³</v>
          </cell>
          <cell r="G314">
            <v>30</v>
          </cell>
          <cell r="H314">
            <v>321554</v>
          </cell>
          <cell r="I314">
            <v>9646620</v>
          </cell>
          <cell r="J314" t="str">
            <v>TS.3.24</v>
          </cell>
        </row>
        <row r="315">
          <cell r="B315" t="str">
            <v>H3.3</v>
          </cell>
          <cell r="E315" t="str">
            <v>CONCRETE WORKS for PIER, ABUTMENT and APPROACH SLAB</v>
          </cell>
        </row>
        <row r="316">
          <cell r="B316" t="str">
            <v>H3-3.1</v>
          </cell>
          <cell r="E316" t="str">
            <v>Concrete, type C1</v>
          </cell>
          <cell r="F316" t="str">
            <v>m³</v>
          </cell>
          <cell r="G316">
            <v>480</v>
          </cell>
          <cell r="H316">
            <v>314524</v>
          </cell>
          <cell r="I316">
            <v>150971520</v>
          </cell>
          <cell r="J316" t="str">
            <v>TS.3.24</v>
          </cell>
        </row>
        <row r="317">
          <cell r="B317" t="str">
            <v>H3-3.2</v>
          </cell>
          <cell r="E317" t="str">
            <v>Concrete, type E</v>
          </cell>
          <cell r="F317" t="str">
            <v>m³</v>
          </cell>
          <cell r="G317">
            <v>22</v>
          </cell>
          <cell r="H317">
            <v>289443</v>
          </cell>
          <cell r="I317">
            <v>6367746</v>
          </cell>
          <cell r="J317" t="str">
            <v>TS.3.24</v>
          </cell>
        </row>
        <row r="318">
          <cell r="B318" t="str">
            <v>H3-3.3</v>
          </cell>
          <cell r="E318" t="str">
            <v>Reinforcing steel bar</v>
          </cell>
          <cell r="F318" t="str">
            <v>kg</v>
          </cell>
          <cell r="G318">
            <v>71600</v>
          </cell>
          <cell r="H318">
            <v>3554</v>
          </cell>
          <cell r="I318">
            <v>254466400</v>
          </cell>
          <cell r="J318" t="str">
            <v>TS.3.24</v>
          </cell>
        </row>
        <row r="319">
          <cell r="B319" t="str">
            <v>H3-3.4</v>
          </cell>
          <cell r="E319" t="str">
            <v>Formwork FW1</v>
          </cell>
          <cell r="F319" t="str">
            <v>m²</v>
          </cell>
          <cell r="G319">
            <v>350</v>
          </cell>
          <cell r="H319">
            <v>70833</v>
          </cell>
          <cell r="I319">
            <v>24791550</v>
          </cell>
          <cell r="J319" t="str">
            <v>TS.3.24</v>
          </cell>
        </row>
        <row r="320">
          <cell r="B320" t="str">
            <v>H3-3.5</v>
          </cell>
          <cell r="E320" t="str">
            <v>Formwork FW2</v>
          </cell>
          <cell r="F320" t="str">
            <v>m²</v>
          </cell>
          <cell r="G320">
            <v>410</v>
          </cell>
          <cell r="H320">
            <v>84938</v>
          </cell>
          <cell r="I320">
            <v>34824580</v>
          </cell>
          <cell r="J320" t="str">
            <v>TS.3.24</v>
          </cell>
        </row>
        <row r="321">
          <cell r="B321" t="str">
            <v>H3-3.6</v>
          </cell>
          <cell r="E321" t="str">
            <v>Rubble stone bedding</v>
          </cell>
          <cell r="F321" t="str">
            <v>m³</v>
          </cell>
          <cell r="G321">
            <v>46</v>
          </cell>
          <cell r="H321">
            <v>75157</v>
          </cell>
          <cell r="I321">
            <v>3457222</v>
          </cell>
          <cell r="J321" t="str">
            <v>TS.4.14</v>
          </cell>
        </row>
        <row r="322">
          <cell r="B322" t="str">
            <v>H3.4</v>
          </cell>
          <cell r="E322" t="str">
            <v>CONCRETE WORKS for SUPER STRUCTURE</v>
          </cell>
        </row>
        <row r="323">
          <cell r="B323" t="str">
            <v>H3-4.1</v>
          </cell>
          <cell r="E323" t="str">
            <v>Precast prestressed concrete beam including tensioning and erection</v>
          </cell>
          <cell r="F323" t="str">
            <v>ls</v>
          </cell>
          <cell r="G323">
            <v>1</v>
          </cell>
          <cell r="H323">
            <v>1208990874</v>
          </cell>
          <cell r="I323">
            <v>1208990874</v>
          </cell>
          <cell r="J323" t="str">
            <v>TS.8.07</v>
          </cell>
        </row>
        <row r="324">
          <cell r="B324" t="str">
            <v>H3-4.2</v>
          </cell>
          <cell r="E324" t="str">
            <v>Precats prestressed concrete diaphragm</v>
          </cell>
          <cell r="F324" t="str">
            <v>ls</v>
          </cell>
          <cell r="G324">
            <v>1</v>
          </cell>
          <cell r="H324">
            <v>32324938</v>
          </cell>
          <cell r="I324">
            <v>32324938</v>
          </cell>
          <cell r="J324" t="str">
            <v>TS.8.07</v>
          </cell>
        </row>
        <row r="325">
          <cell r="B325" t="str">
            <v>H3-4.3</v>
          </cell>
          <cell r="E325" t="str">
            <v>Prestreed concrete panal for slab</v>
          </cell>
          <cell r="F325" t="str">
            <v>ls</v>
          </cell>
          <cell r="G325">
            <v>1</v>
          </cell>
          <cell r="H325">
            <v>149788277</v>
          </cell>
          <cell r="I325">
            <v>149788277</v>
          </cell>
          <cell r="J325" t="str">
            <v>TS.8.07</v>
          </cell>
        </row>
        <row r="326">
          <cell r="B326" t="str">
            <v>H3-4.4</v>
          </cell>
          <cell r="E326" t="str">
            <v>Concrete, type B for slab</v>
          </cell>
          <cell r="F326" t="str">
            <v>m³</v>
          </cell>
          <cell r="G326">
            <v>220</v>
          </cell>
          <cell r="H326">
            <v>412196</v>
          </cell>
          <cell r="I326">
            <v>90683120</v>
          </cell>
          <cell r="J326" t="str">
            <v>TS.3.24</v>
          </cell>
        </row>
        <row r="327">
          <cell r="B327" t="str">
            <v>H3-4.5</v>
          </cell>
          <cell r="E327" t="str">
            <v>Reinforcing steel bar</v>
          </cell>
          <cell r="F327" t="str">
            <v>kg</v>
          </cell>
          <cell r="G327">
            <v>45500</v>
          </cell>
          <cell r="H327">
            <v>3554</v>
          </cell>
          <cell r="I327">
            <v>161707000</v>
          </cell>
          <cell r="J327" t="str">
            <v>TS.3.24</v>
          </cell>
        </row>
        <row r="328">
          <cell r="B328" t="str">
            <v>H3-4.6</v>
          </cell>
          <cell r="E328" t="str">
            <v>Formwork FW2</v>
          </cell>
          <cell r="F328" t="str">
            <v>m²</v>
          </cell>
          <cell r="G328">
            <v>450</v>
          </cell>
          <cell r="H328">
            <v>84938</v>
          </cell>
          <cell r="I328">
            <v>38222100</v>
          </cell>
          <cell r="J328" t="str">
            <v>TS.3.24</v>
          </cell>
        </row>
        <row r="329">
          <cell r="B329" t="str">
            <v>H3.5</v>
          </cell>
          <cell r="E329" t="str">
            <v>MISCELLANEOUS WORKS</v>
          </cell>
        </row>
        <row r="330">
          <cell r="B330" t="str">
            <v>H3-5.1</v>
          </cell>
          <cell r="E330" t="str">
            <v>Expansion joint steel profile (75 mm x 75 mm x 6 mm)</v>
          </cell>
          <cell r="F330" t="str">
            <v>m</v>
          </cell>
          <cell r="G330">
            <v>32</v>
          </cell>
          <cell r="H330">
            <v>79130</v>
          </cell>
          <cell r="I330">
            <v>2532160</v>
          </cell>
          <cell r="J330" t="str">
            <v>TS.6.09</v>
          </cell>
        </row>
        <row r="331">
          <cell r="B331" t="str">
            <v>H3-5.2</v>
          </cell>
          <cell r="E331" t="str">
            <v>Elastomeric bearing pad for abutment 406 mm x 280 mm x 67 mm</v>
          </cell>
          <cell r="F331" t="str">
            <v>nos</v>
          </cell>
          <cell r="G331">
            <v>11</v>
          </cell>
          <cell r="H331">
            <v>739517</v>
          </cell>
          <cell r="I331">
            <v>8134687</v>
          </cell>
          <cell r="J331" t="str">
            <v>TS.8.07</v>
          </cell>
        </row>
        <row r="332">
          <cell r="B332" t="str">
            <v>H3-5.3</v>
          </cell>
          <cell r="E332" t="str">
            <v>Elastomeric bearing pad for pier 480 mm x 300 mm x 67 mm</v>
          </cell>
          <cell r="F332" t="str">
            <v>nos</v>
          </cell>
          <cell r="G332">
            <v>24</v>
          </cell>
          <cell r="H332">
            <v>946965</v>
          </cell>
          <cell r="I332">
            <v>22727160</v>
          </cell>
          <cell r="J332" t="str">
            <v>TS.8.07</v>
          </cell>
        </row>
        <row r="333">
          <cell r="B333" t="str">
            <v>H3-5.4</v>
          </cell>
          <cell r="E333" t="str">
            <v>Galvanized pipe drain dia. 100 mm</v>
          </cell>
          <cell r="F333" t="str">
            <v>m</v>
          </cell>
          <cell r="G333">
            <v>81</v>
          </cell>
          <cell r="H333">
            <v>83894</v>
          </cell>
          <cell r="I333">
            <v>6795414</v>
          </cell>
          <cell r="J333" t="str">
            <v>TS.8.07</v>
          </cell>
        </row>
        <row r="334">
          <cell r="B334" t="str">
            <v>H3-5.5</v>
          </cell>
          <cell r="E334" t="str">
            <v>Handrail, galvanized steel pipe</v>
          </cell>
          <cell r="F334" t="str">
            <v>kg</v>
          </cell>
          <cell r="G334">
            <v>5220</v>
          </cell>
          <cell r="H334">
            <v>6963</v>
          </cell>
          <cell r="I334">
            <v>36346860</v>
          </cell>
          <cell r="J334" t="str">
            <v>TS.6.09</v>
          </cell>
        </row>
        <row r="335">
          <cell r="B335" t="str">
            <v>H3-5.6</v>
          </cell>
          <cell r="E335" t="str">
            <v>Concrete, type C1 for handrail post, curb and footpass</v>
          </cell>
          <cell r="F335" t="str">
            <v>m³</v>
          </cell>
          <cell r="G335">
            <v>82</v>
          </cell>
          <cell r="H335">
            <v>314514</v>
          </cell>
          <cell r="I335">
            <v>25790148</v>
          </cell>
          <cell r="J335" t="str">
            <v>TS.3.24</v>
          </cell>
        </row>
        <row r="336">
          <cell r="B336" t="str">
            <v>H3-5.7</v>
          </cell>
          <cell r="E336" t="str">
            <v>Formwork FW1</v>
          </cell>
          <cell r="F336" t="str">
            <v>m²</v>
          </cell>
          <cell r="G336">
            <v>355</v>
          </cell>
          <cell r="H336">
            <v>70833</v>
          </cell>
          <cell r="I336">
            <v>25145715</v>
          </cell>
          <cell r="J336" t="str">
            <v>TS.3.24</v>
          </cell>
        </row>
        <row r="337">
          <cell r="B337" t="str">
            <v>H3-5.8</v>
          </cell>
          <cell r="E337" t="str">
            <v>Name plate</v>
          </cell>
          <cell r="F337" t="str">
            <v>nos</v>
          </cell>
          <cell r="G337">
            <v>2</v>
          </cell>
          <cell r="H337">
            <v>999152</v>
          </cell>
          <cell r="I337">
            <v>1998304</v>
          </cell>
          <cell r="J337" t="str">
            <v>TS.8.07</v>
          </cell>
        </row>
        <row r="338">
          <cell r="B338" t="str">
            <v>H3.6</v>
          </cell>
          <cell r="E338" t="str">
            <v>DRAINAGE DITCH and RETAINING WALL for APPROCH ROAD</v>
          </cell>
        </row>
        <row r="339">
          <cell r="B339" t="str">
            <v>H3-6.1</v>
          </cell>
          <cell r="E339" t="str">
            <v>Backfill with gravel</v>
          </cell>
          <cell r="F339" t="str">
            <v>m³</v>
          </cell>
          <cell r="G339">
            <v>240</v>
          </cell>
          <cell r="H339">
            <v>77757</v>
          </cell>
          <cell r="I339">
            <v>18661680</v>
          </cell>
          <cell r="J339" t="str">
            <v>TS.4.14</v>
          </cell>
        </row>
        <row r="340">
          <cell r="B340" t="str">
            <v>H3-6.2</v>
          </cell>
          <cell r="E340" t="str">
            <v>Wet stone masonry (1:4) for drainage ditch</v>
          </cell>
          <cell r="F340" t="str">
            <v>m³</v>
          </cell>
          <cell r="G340">
            <v>500</v>
          </cell>
          <cell r="H340">
            <v>163909</v>
          </cell>
          <cell r="I340">
            <v>81954500</v>
          </cell>
          <cell r="J340" t="str">
            <v>TS.4.14</v>
          </cell>
        </row>
        <row r="341">
          <cell r="B341" t="str">
            <v>H3-6.3</v>
          </cell>
          <cell r="E341" t="str">
            <v>Cement mortar plastering</v>
          </cell>
          <cell r="F341" t="str">
            <v>m²</v>
          </cell>
          <cell r="G341">
            <v>760</v>
          </cell>
          <cell r="H341">
            <v>12274</v>
          </cell>
          <cell r="I341">
            <v>9328240</v>
          </cell>
          <cell r="J341" t="str">
            <v>TS.4.14</v>
          </cell>
        </row>
        <row r="342">
          <cell r="B342" t="str">
            <v>H3-6.4</v>
          </cell>
          <cell r="E342" t="str">
            <v>Concrete, type C1</v>
          </cell>
          <cell r="F342" t="str">
            <v>m³</v>
          </cell>
          <cell r="G342">
            <v>7</v>
          </cell>
          <cell r="H342">
            <v>358031</v>
          </cell>
          <cell r="I342">
            <v>2506217</v>
          </cell>
          <cell r="J342" t="str">
            <v>TS.3.24</v>
          </cell>
        </row>
        <row r="343">
          <cell r="B343" t="str">
            <v>H3-6.5</v>
          </cell>
          <cell r="E343" t="str">
            <v>Concrete, type E</v>
          </cell>
          <cell r="F343" t="str">
            <v>m³</v>
          </cell>
          <cell r="G343">
            <v>5</v>
          </cell>
          <cell r="H343">
            <v>315179</v>
          </cell>
          <cell r="I343">
            <v>1575895</v>
          </cell>
          <cell r="J343" t="str">
            <v>TS.3.24</v>
          </cell>
        </row>
        <row r="344">
          <cell r="B344" t="str">
            <v>H3-6.6</v>
          </cell>
          <cell r="E344" t="str">
            <v>Reinforcing steel bar</v>
          </cell>
          <cell r="F344" t="str">
            <v>kg</v>
          </cell>
          <cell r="G344">
            <v>910</v>
          </cell>
          <cell r="H344">
            <v>3554</v>
          </cell>
          <cell r="I344">
            <v>3234140</v>
          </cell>
          <cell r="J344" t="str">
            <v>TS.3.24</v>
          </cell>
        </row>
        <row r="345">
          <cell r="B345" t="str">
            <v>H3-6.7</v>
          </cell>
          <cell r="E345" t="str">
            <v>Formwork FW1</v>
          </cell>
          <cell r="F345" t="str">
            <v>m²</v>
          </cell>
          <cell r="G345">
            <v>280</v>
          </cell>
          <cell r="H345">
            <v>70833</v>
          </cell>
          <cell r="I345">
            <v>19833240</v>
          </cell>
          <cell r="J345" t="str">
            <v>TS.3.24</v>
          </cell>
        </row>
        <row r="346">
          <cell r="B346" t="str">
            <v>H3-6.8</v>
          </cell>
          <cell r="E346" t="str">
            <v>Weep hole, dia. 50 mm, including filter clotch</v>
          </cell>
          <cell r="F346" t="str">
            <v>nos</v>
          </cell>
          <cell r="G346">
            <v>190</v>
          </cell>
          <cell r="H346">
            <v>72163</v>
          </cell>
          <cell r="I346">
            <v>13710970</v>
          </cell>
          <cell r="J346" t="str">
            <v>TS.4.14</v>
          </cell>
        </row>
        <row r="347">
          <cell r="B347" t="str">
            <v>H3.7</v>
          </cell>
          <cell r="E347" t="str">
            <v>PAVEMENT (SUPER STRUCTURE and APPROACH ROAD : CLASS II)</v>
          </cell>
        </row>
        <row r="348">
          <cell r="B348" t="str">
            <v>H3-7.1</v>
          </cell>
          <cell r="E348" t="str">
            <v>Sub-base course (class B)</v>
          </cell>
          <cell r="F348" t="str">
            <v>m³</v>
          </cell>
          <cell r="G348">
            <v>290</v>
          </cell>
          <cell r="H348">
            <v>108708</v>
          </cell>
          <cell r="I348">
            <v>31525320</v>
          </cell>
          <cell r="J348" t="str">
            <v>TS.7.09</v>
          </cell>
        </row>
        <row r="349">
          <cell r="B349" t="str">
            <v>H3-7.2</v>
          </cell>
          <cell r="E349" t="str">
            <v>Base course (class A)</v>
          </cell>
          <cell r="F349" t="str">
            <v>m³</v>
          </cell>
          <cell r="G349">
            <v>140</v>
          </cell>
          <cell r="H349">
            <v>115502</v>
          </cell>
          <cell r="I349">
            <v>16170280</v>
          </cell>
          <cell r="J349" t="str">
            <v>TS.7.09</v>
          </cell>
        </row>
        <row r="350">
          <cell r="B350" t="str">
            <v>H3-7.3</v>
          </cell>
          <cell r="E350" t="str">
            <v>Asphalt treatment base (A.T.B)</v>
          </cell>
          <cell r="F350" t="str">
            <v>ton</v>
          </cell>
          <cell r="G350">
            <v>190</v>
          </cell>
          <cell r="H350">
            <v>319328</v>
          </cell>
          <cell r="I350">
            <v>60672320</v>
          </cell>
          <cell r="J350" t="str">
            <v>TS.7.09</v>
          </cell>
        </row>
        <row r="351">
          <cell r="B351" t="str">
            <v>H3-7.4</v>
          </cell>
          <cell r="E351" t="str">
            <v>Bituminous prime coat</v>
          </cell>
          <cell r="F351" t="str">
            <v>liter</v>
          </cell>
          <cell r="G351">
            <v>2000</v>
          </cell>
          <cell r="H351">
            <v>3737</v>
          </cell>
          <cell r="I351">
            <v>7474000</v>
          </cell>
          <cell r="J351" t="str">
            <v>TS.7.09</v>
          </cell>
        </row>
        <row r="352">
          <cell r="B352" t="str">
            <v>H3-7.5</v>
          </cell>
          <cell r="E352" t="str">
            <v>Bituminous surface course 50 mm thick</v>
          </cell>
          <cell r="F352" t="str">
            <v>ton</v>
          </cell>
          <cell r="G352">
            <v>190</v>
          </cell>
          <cell r="H352">
            <v>322726</v>
          </cell>
          <cell r="I352">
            <v>61317940</v>
          </cell>
          <cell r="J352" t="str">
            <v>TS.7.09</v>
          </cell>
        </row>
        <row r="353">
          <cell r="B353" t="str">
            <v>H4</v>
          </cell>
          <cell r="E353" t="str">
            <v>TITI GANTUNG BRIDGE (P3)</v>
          </cell>
        </row>
        <row r="354">
          <cell r="B354" t="str">
            <v>H4.1</v>
          </cell>
          <cell r="E354" t="str">
            <v>EARTH WORK</v>
          </cell>
        </row>
        <row r="355">
          <cell r="B355" t="str">
            <v>H4-1.1</v>
          </cell>
          <cell r="E355" t="str">
            <v>Excavation (common)</v>
          </cell>
          <cell r="F355" t="str">
            <v>m³</v>
          </cell>
          <cell r="G355">
            <v>2940</v>
          </cell>
          <cell r="H355">
            <v>6921</v>
          </cell>
          <cell r="I355">
            <v>20347740</v>
          </cell>
          <cell r="J355" t="str">
            <v>TS.2.10</v>
          </cell>
        </row>
        <row r="356">
          <cell r="B356" t="str">
            <v>H4-1.2</v>
          </cell>
          <cell r="E356" t="str">
            <v>Embankment</v>
          </cell>
          <cell r="F356" t="str">
            <v>m³</v>
          </cell>
          <cell r="G356">
            <v>2980</v>
          </cell>
          <cell r="H356">
            <v>5574</v>
          </cell>
          <cell r="I356">
            <v>16610520</v>
          </cell>
          <cell r="J356" t="str">
            <v>TS.2.10</v>
          </cell>
        </row>
        <row r="357">
          <cell r="B357" t="str">
            <v>H4-1.3</v>
          </cell>
          <cell r="E357" t="str">
            <v>Backfill with selected soil</v>
          </cell>
          <cell r="F357" t="str">
            <v>m³</v>
          </cell>
          <cell r="G357">
            <v>970</v>
          </cell>
          <cell r="H357">
            <v>5530</v>
          </cell>
          <cell r="I357">
            <v>5364100</v>
          </cell>
          <cell r="J357" t="str">
            <v>TS.2.10</v>
          </cell>
        </row>
        <row r="358">
          <cell r="B358" t="str">
            <v>H4-1.4</v>
          </cell>
          <cell r="E358" t="str">
            <v>Solid sodding</v>
          </cell>
          <cell r="F358" t="str">
            <v>m²</v>
          </cell>
          <cell r="G358">
            <v>300</v>
          </cell>
          <cell r="H358">
            <v>6139</v>
          </cell>
          <cell r="I358">
            <v>1841700</v>
          </cell>
          <cell r="J358" t="str">
            <v>TS.4.14</v>
          </cell>
        </row>
        <row r="359">
          <cell r="B359" t="str">
            <v>H4-1.5</v>
          </cell>
          <cell r="E359" t="str">
            <v>Demolition and removal of existing structure</v>
          </cell>
          <cell r="F359" t="str">
            <v>ls</v>
          </cell>
          <cell r="G359">
            <v>1</v>
          </cell>
          <cell r="H359">
            <v>20156373</v>
          </cell>
          <cell r="I359">
            <v>20156373</v>
          </cell>
          <cell r="J359" t="str">
            <v>TS.2.10</v>
          </cell>
        </row>
        <row r="360">
          <cell r="B360" t="str">
            <v>H4.2</v>
          </cell>
          <cell r="E360" t="str">
            <v>PILE FOUNDATION WORKS for PIER and ABUTMENT</v>
          </cell>
        </row>
        <row r="361">
          <cell r="B361" t="str">
            <v>H4-2.1</v>
          </cell>
          <cell r="E361" t="str">
            <v>SP pile for test pile, dia. 400 mm</v>
          </cell>
          <cell r="F361" t="str">
            <v>m</v>
          </cell>
          <cell r="G361">
            <v>28</v>
          </cell>
          <cell r="H361">
            <v>366915</v>
          </cell>
          <cell r="I361">
            <v>10273620</v>
          </cell>
          <cell r="J361" t="str">
            <v>TS.5.07</v>
          </cell>
        </row>
        <row r="362">
          <cell r="B362" t="str">
            <v>H4-2.2</v>
          </cell>
          <cell r="E362" t="str">
            <v>Static load test for SP and PC pile</v>
          </cell>
          <cell r="F362" t="str">
            <v>nos</v>
          </cell>
          <cell r="G362">
            <v>1</v>
          </cell>
          <cell r="H362">
            <v>19983031</v>
          </cell>
          <cell r="I362">
            <v>19983031</v>
          </cell>
          <cell r="J362" t="str">
            <v>TS.5.07</v>
          </cell>
        </row>
        <row r="363">
          <cell r="B363" t="str">
            <v>H4-2.3</v>
          </cell>
          <cell r="E363" t="str">
            <v>Supply and driving of SP piles, dia. 400 mm</v>
          </cell>
          <cell r="F363" t="str">
            <v>m</v>
          </cell>
          <cell r="G363">
            <v>1880</v>
          </cell>
          <cell r="H363">
            <v>366915</v>
          </cell>
          <cell r="I363">
            <v>689800200</v>
          </cell>
          <cell r="J363" t="str">
            <v>TS.5.07</v>
          </cell>
        </row>
        <row r="364">
          <cell r="B364" t="str">
            <v>H4-2.4</v>
          </cell>
          <cell r="E364" t="str">
            <v>Reinforcing steel bar</v>
          </cell>
          <cell r="F364" t="str">
            <v>kg</v>
          </cell>
          <cell r="G364">
            <v>20900</v>
          </cell>
          <cell r="H364">
            <v>3554</v>
          </cell>
          <cell r="I364">
            <v>74278600</v>
          </cell>
          <cell r="J364" t="str">
            <v>TS.3.24</v>
          </cell>
        </row>
        <row r="365">
          <cell r="B365" t="str">
            <v>H4-2.5</v>
          </cell>
          <cell r="E365" t="str">
            <v>Concrete, type C1</v>
          </cell>
          <cell r="F365" t="str">
            <v>m³</v>
          </cell>
          <cell r="G365">
            <v>82</v>
          </cell>
          <cell r="H365">
            <v>314514</v>
          </cell>
          <cell r="I365">
            <v>25790148</v>
          </cell>
          <cell r="J365" t="str">
            <v>TS.3.24</v>
          </cell>
        </row>
        <row r="366">
          <cell r="B366" t="str">
            <v>H4.3</v>
          </cell>
          <cell r="E366" t="str">
            <v>CONCRETE WORKS for PIER, ABUTMENT and APPROACH SLAB</v>
          </cell>
        </row>
        <row r="367">
          <cell r="B367" t="str">
            <v>H4-3.1</v>
          </cell>
          <cell r="E367" t="str">
            <v>Concrete, type C1</v>
          </cell>
          <cell r="F367" t="str">
            <v>m³</v>
          </cell>
          <cell r="G367">
            <v>360</v>
          </cell>
          <cell r="H367">
            <v>314524</v>
          </cell>
          <cell r="I367">
            <v>113228640</v>
          </cell>
          <cell r="J367" t="str">
            <v>TS.3.24</v>
          </cell>
        </row>
        <row r="368">
          <cell r="B368" t="str">
            <v>H4-3.2</v>
          </cell>
          <cell r="E368" t="str">
            <v>Concrete, type E</v>
          </cell>
          <cell r="F368" t="str">
            <v>m³</v>
          </cell>
          <cell r="G368">
            <v>15</v>
          </cell>
          <cell r="H368">
            <v>292976</v>
          </cell>
          <cell r="I368">
            <v>4394640</v>
          </cell>
          <cell r="J368" t="str">
            <v>TS.3.24</v>
          </cell>
        </row>
        <row r="369">
          <cell r="B369" t="str">
            <v>H4-3.3</v>
          </cell>
          <cell r="E369" t="str">
            <v>Reinforcing steel bar</v>
          </cell>
          <cell r="F369" t="str">
            <v>kg</v>
          </cell>
          <cell r="G369">
            <v>52100</v>
          </cell>
          <cell r="H369">
            <v>3554</v>
          </cell>
          <cell r="I369">
            <v>185163400</v>
          </cell>
          <cell r="J369" t="str">
            <v>TS.3.24</v>
          </cell>
        </row>
        <row r="370">
          <cell r="B370" t="str">
            <v>H4-3.4</v>
          </cell>
          <cell r="E370" t="str">
            <v>Formwork FW1</v>
          </cell>
          <cell r="F370" t="str">
            <v>m²</v>
          </cell>
          <cell r="G370">
            <v>250</v>
          </cell>
          <cell r="H370">
            <v>70833</v>
          </cell>
          <cell r="I370">
            <v>17708250</v>
          </cell>
          <cell r="J370" t="str">
            <v>TS.3.24</v>
          </cell>
        </row>
        <row r="371">
          <cell r="B371" t="str">
            <v>H4-3.5</v>
          </cell>
          <cell r="E371" t="str">
            <v>Formwork FW2</v>
          </cell>
          <cell r="F371" t="str">
            <v>m²</v>
          </cell>
          <cell r="G371">
            <v>330</v>
          </cell>
          <cell r="H371">
            <v>84938</v>
          </cell>
          <cell r="I371">
            <v>28029540</v>
          </cell>
          <cell r="J371" t="str">
            <v>TS.3.24</v>
          </cell>
        </row>
        <row r="372">
          <cell r="B372" t="str">
            <v>H4-3.6</v>
          </cell>
          <cell r="E372" t="str">
            <v>Rubble stone bedding</v>
          </cell>
          <cell r="F372" t="str">
            <v>m³</v>
          </cell>
          <cell r="G372">
            <v>20</v>
          </cell>
          <cell r="H372">
            <v>75157</v>
          </cell>
          <cell r="I372">
            <v>1503140</v>
          </cell>
          <cell r="J372" t="str">
            <v>TS.4.14</v>
          </cell>
        </row>
        <row r="373">
          <cell r="B373" t="str">
            <v>H4.4</v>
          </cell>
          <cell r="E373" t="str">
            <v>CONCRETE WORKS for SUPER STRUCTURE</v>
          </cell>
        </row>
        <row r="374">
          <cell r="B374" t="str">
            <v>H4-4.1</v>
          </cell>
          <cell r="E374" t="str">
            <v>Precast prestressed concrete beam including tensioning and erection</v>
          </cell>
          <cell r="F374" t="str">
            <v>ls</v>
          </cell>
          <cell r="G374">
            <v>1</v>
          </cell>
          <cell r="H374">
            <v>727392159</v>
          </cell>
          <cell r="I374">
            <v>727392159</v>
          </cell>
          <cell r="J374" t="str">
            <v>TS.8.07</v>
          </cell>
        </row>
        <row r="375">
          <cell r="B375" t="str">
            <v>H4-4.2</v>
          </cell>
          <cell r="E375" t="str">
            <v>Precats prestressed concrete diaphragm</v>
          </cell>
          <cell r="F375" t="str">
            <v>ls</v>
          </cell>
          <cell r="G375">
            <v>1</v>
          </cell>
          <cell r="H375">
            <v>22532906</v>
          </cell>
          <cell r="I375">
            <v>22532906</v>
          </cell>
          <cell r="J375" t="str">
            <v>TS.8.07</v>
          </cell>
        </row>
        <row r="376">
          <cell r="B376" t="str">
            <v>H4-4.3</v>
          </cell>
          <cell r="E376" t="str">
            <v>Prestreed concrete panel for slab</v>
          </cell>
          <cell r="F376" t="str">
            <v>ls</v>
          </cell>
          <cell r="G376">
            <v>1</v>
          </cell>
          <cell r="H376">
            <v>88474521</v>
          </cell>
          <cell r="I376">
            <v>88474521</v>
          </cell>
          <cell r="J376" t="str">
            <v>TS.8.07</v>
          </cell>
        </row>
        <row r="377">
          <cell r="B377" t="str">
            <v>H4-4.4</v>
          </cell>
          <cell r="E377" t="str">
            <v>Concrete, type B for slab</v>
          </cell>
          <cell r="F377" t="str">
            <v>m³</v>
          </cell>
          <cell r="G377">
            <v>120</v>
          </cell>
          <cell r="H377">
            <v>413457</v>
          </cell>
          <cell r="I377">
            <v>49614840</v>
          </cell>
          <cell r="J377" t="str">
            <v>TS.3.24</v>
          </cell>
        </row>
        <row r="378">
          <cell r="B378" t="str">
            <v>H4-4.5</v>
          </cell>
          <cell r="E378" t="str">
            <v>Reinforcing steel bar</v>
          </cell>
          <cell r="F378" t="str">
            <v>kg</v>
          </cell>
          <cell r="G378">
            <v>25300</v>
          </cell>
          <cell r="H378">
            <v>3554</v>
          </cell>
          <cell r="I378">
            <v>89916200</v>
          </cell>
          <cell r="J378" t="str">
            <v>TS.3.24</v>
          </cell>
        </row>
        <row r="379">
          <cell r="B379" t="str">
            <v>H4-4.6</v>
          </cell>
          <cell r="E379" t="str">
            <v>Formwork FW2</v>
          </cell>
          <cell r="F379" t="str">
            <v>m²</v>
          </cell>
          <cell r="G379">
            <v>250</v>
          </cell>
          <cell r="H379">
            <v>84938</v>
          </cell>
          <cell r="I379">
            <v>21234500</v>
          </cell>
          <cell r="J379" t="str">
            <v>TS.3.24</v>
          </cell>
        </row>
        <row r="380">
          <cell r="B380" t="str">
            <v>H4.5</v>
          </cell>
          <cell r="E380" t="str">
            <v>MISCELLANEOUS WORKS</v>
          </cell>
        </row>
        <row r="381">
          <cell r="B381" t="str">
            <v>H4-5.1</v>
          </cell>
          <cell r="E381" t="str">
            <v>Expansion joint steel profile (75 mm x 75 mm x 6 mm)</v>
          </cell>
          <cell r="F381" t="str">
            <v>m</v>
          </cell>
          <cell r="G381">
            <v>24</v>
          </cell>
          <cell r="H381">
            <v>79130</v>
          </cell>
          <cell r="I381">
            <v>1899120</v>
          </cell>
          <cell r="J381" t="str">
            <v>TS.6.09</v>
          </cell>
        </row>
        <row r="382">
          <cell r="B382" t="str">
            <v>H4-5.2</v>
          </cell>
          <cell r="E382" t="str">
            <v>Elastomeric bearing pad for abutment 406 mm x 280 mm x 67 mm</v>
          </cell>
          <cell r="F382" t="str">
            <v>nos</v>
          </cell>
          <cell r="G382">
            <v>12</v>
          </cell>
          <cell r="H382">
            <v>739517</v>
          </cell>
          <cell r="I382">
            <v>8874204</v>
          </cell>
          <cell r="J382" t="str">
            <v>TS.8.07</v>
          </cell>
        </row>
        <row r="383">
          <cell r="B383" t="str">
            <v>H4-5.3</v>
          </cell>
          <cell r="E383" t="str">
            <v>Elastomeric bearing pad for pier 480 mm x 300 mm x 67 mm</v>
          </cell>
          <cell r="F383" t="str">
            <v>nos</v>
          </cell>
          <cell r="G383">
            <v>12</v>
          </cell>
          <cell r="H383">
            <v>946965</v>
          </cell>
          <cell r="I383">
            <v>11363580</v>
          </cell>
          <cell r="J383" t="str">
            <v>TS.8.07</v>
          </cell>
        </row>
        <row r="384">
          <cell r="B384" t="str">
            <v>H4-5.4</v>
          </cell>
          <cell r="E384" t="str">
            <v>Galvanized pipe drain dia. 100 mm</v>
          </cell>
          <cell r="F384" t="str">
            <v>m</v>
          </cell>
          <cell r="G384">
            <v>46</v>
          </cell>
          <cell r="H384">
            <v>83894</v>
          </cell>
          <cell r="I384">
            <v>3859124</v>
          </cell>
          <cell r="J384" t="str">
            <v>TS.8.07</v>
          </cell>
        </row>
        <row r="385">
          <cell r="B385" t="str">
            <v>H4-5.5</v>
          </cell>
          <cell r="E385" t="str">
            <v>Handrail, galvanized steel pipe</v>
          </cell>
          <cell r="F385" t="str">
            <v>kg</v>
          </cell>
          <cell r="G385">
            <v>2890</v>
          </cell>
          <cell r="H385">
            <v>6963</v>
          </cell>
          <cell r="I385">
            <v>20123070</v>
          </cell>
          <cell r="J385" t="str">
            <v>TS.6.09</v>
          </cell>
        </row>
        <row r="386">
          <cell r="B386" t="str">
            <v>H4-5.6</v>
          </cell>
          <cell r="E386" t="str">
            <v>Concrete, type C1 for handrail post, curb and footpass</v>
          </cell>
          <cell r="F386" t="str">
            <v>m³</v>
          </cell>
          <cell r="G386">
            <v>59</v>
          </cell>
          <cell r="H386">
            <v>316097</v>
          </cell>
          <cell r="I386">
            <v>18649723</v>
          </cell>
          <cell r="J386" t="str">
            <v>TS.3.24</v>
          </cell>
        </row>
        <row r="387">
          <cell r="B387" t="str">
            <v>H4-5.7</v>
          </cell>
          <cell r="E387" t="str">
            <v>Formwork FW1</v>
          </cell>
          <cell r="F387" t="str">
            <v>m²</v>
          </cell>
          <cell r="G387">
            <v>200</v>
          </cell>
          <cell r="H387">
            <v>70833</v>
          </cell>
          <cell r="I387">
            <v>14166600</v>
          </cell>
          <cell r="J387" t="str">
            <v>TS.3.24</v>
          </cell>
        </row>
        <row r="388">
          <cell r="B388" t="str">
            <v>H4-5.8</v>
          </cell>
          <cell r="E388" t="str">
            <v>Name plate</v>
          </cell>
          <cell r="F388" t="str">
            <v>nos</v>
          </cell>
          <cell r="G388">
            <v>2</v>
          </cell>
          <cell r="H388">
            <v>999152</v>
          </cell>
          <cell r="I388">
            <v>1998304</v>
          </cell>
          <cell r="J388" t="str">
            <v>TS.8.07</v>
          </cell>
        </row>
        <row r="389">
          <cell r="B389" t="str">
            <v>H4.6</v>
          </cell>
          <cell r="E389" t="str">
            <v>DRAINAGE DITCH and RETAINING WALL for APPROCH ROAD</v>
          </cell>
        </row>
        <row r="390">
          <cell r="B390" t="str">
            <v>H4-6.1</v>
          </cell>
          <cell r="E390" t="str">
            <v>Backfill with gravel</v>
          </cell>
          <cell r="F390" t="str">
            <v>m³</v>
          </cell>
          <cell r="G390">
            <v>340</v>
          </cell>
          <cell r="H390">
            <v>77757</v>
          </cell>
          <cell r="I390">
            <v>26437380</v>
          </cell>
          <cell r="J390" t="str">
            <v>TS.4.14</v>
          </cell>
        </row>
        <row r="391">
          <cell r="B391" t="str">
            <v>H4-6.2</v>
          </cell>
          <cell r="E391" t="str">
            <v>Wet stone masonry (1:4) for drainage ditch</v>
          </cell>
          <cell r="F391" t="str">
            <v>m³</v>
          </cell>
          <cell r="G391">
            <v>460</v>
          </cell>
          <cell r="H391">
            <v>163909</v>
          </cell>
          <cell r="I391">
            <v>75398140</v>
          </cell>
          <cell r="J391" t="str">
            <v>TS.4.14</v>
          </cell>
        </row>
        <row r="392">
          <cell r="B392" t="str">
            <v>H4-6.3</v>
          </cell>
          <cell r="E392" t="str">
            <v>Cement mortar plastering</v>
          </cell>
          <cell r="F392" t="str">
            <v>m²</v>
          </cell>
          <cell r="G392">
            <v>570</v>
          </cell>
          <cell r="H392">
            <v>12274</v>
          </cell>
          <cell r="I392">
            <v>6996180</v>
          </cell>
          <cell r="J392" t="str">
            <v>TS.4.14</v>
          </cell>
        </row>
        <row r="393">
          <cell r="B393" t="str">
            <v>H4-6.4</v>
          </cell>
          <cell r="E393" t="str">
            <v>Concrete, type C1</v>
          </cell>
          <cell r="F393" t="str">
            <v>m³</v>
          </cell>
          <cell r="G393">
            <v>5</v>
          </cell>
          <cell r="H393">
            <v>377062</v>
          </cell>
          <cell r="I393">
            <v>1885310</v>
          </cell>
          <cell r="J393" t="str">
            <v>TS.3.24</v>
          </cell>
        </row>
        <row r="394">
          <cell r="B394" t="str">
            <v>H4-6.5</v>
          </cell>
          <cell r="E394" t="str">
            <v>Concrete, type E</v>
          </cell>
          <cell r="F394" t="str">
            <v>m³</v>
          </cell>
          <cell r="G394">
            <v>4</v>
          </cell>
          <cell r="H394">
            <v>323505</v>
          </cell>
          <cell r="I394">
            <v>1294020</v>
          </cell>
          <cell r="J394" t="str">
            <v>TS.3.24</v>
          </cell>
        </row>
        <row r="395">
          <cell r="B395" t="str">
            <v>H4-6.6</v>
          </cell>
          <cell r="E395" t="str">
            <v>Reinforcing steel bar</v>
          </cell>
          <cell r="F395" t="str">
            <v>kg</v>
          </cell>
          <cell r="G395">
            <v>640</v>
          </cell>
          <cell r="H395">
            <v>3554</v>
          </cell>
          <cell r="I395">
            <v>2274560</v>
          </cell>
          <cell r="J395" t="str">
            <v>TS.3.24</v>
          </cell>
        </row>
        <row r="396">
          <cell r="B396" t="str">
            <v>H4-6.7</v>
          </cell>
          <cell r="E396" t="str">
            <v>Formwork FW1</v>
          </cell>
          <cell r="F396" t="str">
            <v>m²</v>
          </cell>
          <cell r="G396">
            <v>250</v>
          </cell>
          <cell r="H396">
            <v>70833</v>
          </cell>
          <cell r="I396">
            <v>17708250</v>
          </cell>
          <cell r="J396" t="str">
            <v>TS.3.24</v>
          </cell>
        </row>
        <row r="397">
          <cell r="B397" t="str">
            <v>H4-6.8</v>
          </cell>
          <cell r="E397" t="str">
            <v>Weep hole, dia. 50 mm, including filter clotch</v>
          </cell>
          <cell r="F397" t="str">
            <v>nos</v>
          </cell>
          <cell r="G397">
            <v>200</v>
          </cell>
          <cell r="H397">
            <v>72163</v>
          </cell>
          <cell r="I397">
            <v>14432600</v>
          </cell>
          <cell r="J397" t="str">
            <v>TS.4.14</v>
          </cell>
        </row>
        <row r="398">
          <cell r="B398" t="str">
            <v>H4.7</v>
          </cell>
          <cell r="E398" t="str">
            <v>PAVEMENT (SUPER STRUCTURE and APPROACH ROAD : CLASS II)</v>
          </cell>
        </row>
        <row r="399">
          <cell r="B399" t="str">
            <v>H4-7.1</v>
          </cell>
          <cell r="E399" t="str">
            <v>Sub-base course (class B)</v>
          </cell>
          <cell r="F399" t="str">
            <v>m³</v>
          </cell>
          <cell r="G399">
            <v>170</v>
          </cell>
          <cell r="H399">
            <v>108708</v>
          </cell>
          <cell r="I399">
            <v>18480360</v>
          </cell>
          <cell r="J399" t="str">
            <v>TS.7.09</v>
          </cell>
        </row>
        <row r="400">
          <cell r="B400" t="str">
            <v>H4-7.2</v>
          </cell>
          <cell r="E400" t="str">
            <v>Base course (class A)</v>
          </cell>
          <cell r="F400" t="str">
            <v>m³</v>
          </cell>
          <cell r="G400">
            <v>89</v>
          </cell>
          <cell r="H400">
            <v>115502</v>
          </cell>
          <cell r="I400">
            <v>10279678</v>
          </cell>
          <cell r="J400" t="str">
            <v>TS.7.09</v>
          </cell>
        </row>
        <row r="401">
          <cell r="B401" t="str">
            <v>H4-7.3</v>
          </cell>
          <cell r="E401" t="str">
            <v>Asphalt treatment base (A.T.B)</v>
          </cell>
          <cell r="F401" t="str">
            <v>ton</v>
          </cell>
          <cell r="G401">
            <v>130</v>
          </cell>
          <cell r="H401">
            <v>319328</v>
          </cell>
          <cell r="I401">
            <v>41512640</v>
          </cell>
          <cell r="J401" t="str">
            <v>TS.7.09</v>
          </cell>
        </row>
        <row r="402">
          <cell r="B402" t="str">
            <v>H4-7.4</v>
          </cell>
          <cell r="E402" t="str">
            <v>Bituminous prime coat</v>
          </cell>
          <cell r="F402" t="str">
            <v>liter</v>
          </cell>
          <cell r="G402">
            <v>1200</v>
          </cell>
          <cell r="H402">
            <v>3737</v>
          </cell>
          <cell r="I402">
            <v>4484400</v>
          </cell>
          <cell r="J402" t="str">
            <v>TS.7.09</v>
          </cell>
        </row>
        <row r="403">
          <cell r="B403" t="str">
            <v>H4-7.5</v>
          </cell>
          <cell r="E403" t="str">
            <v>Bituminous surface course 50 mm thick</v>
          </cell>
          <cell r="F403" t="str">
            <v>ton</v>
          </cell>
          <cell r="G403">
            <v>110</v>
          </cell>
          <cell r="H403">
            <v>322726</v>
          </cell>
          <cell r="I403">
            <v>35499860</v>
          </cell>
          <cell r="J403" t="str">
            <v>TS.7.09</v>
          </cell>
        </row>
        <row r="404">
          <cell r="B404" t="str">
            <v>H5 - H22</v>
          </cell>
          <cell r="E404" t="str">
            <v>(Not Applicable)</v>
          </cell>
        </row>
        <row r="406">
          <cell r="B406" t="str">
            <v>I</v>
          </cell>
          <cell r="E406" t="str">
            <v>OTHER WORKS</v>
          </cell>
        </row>
        <row r="407">
          <cell r="B407" t="str">
            <v>I1</v>
          </cell>
          <cell r="E407" t="str">
            <v>(Not Applicable)</v>
          </cell>
        </row>
        <row r="409">
          <cell r="B409" t="str">
            <v>I2</v>
          </cell>
          <cell r="E409" t="str">
            <v>DRAINAGE CHANNEL EXCAVATION (PE95+35 to PE105+30)</v>
          </cell>
        </row>
        <row r="410">
          <cell r="B410" t="str">
            <v>I2.1</v>
          </cell>
          <cell r="E410" t="str">
            <v>Clearing and grubbing</v>
          </cell>
          <cell r="F410" t="str">
            <v>m²</v>
          </cell>
          <cell r="G410">
            <v>10290</v>
          </cell>
          <cell r="H410">
            <v>4019</v>
          </cell>
          <cell r="I410">
            <v>41355510</v>
          </cell>
          <cell r="J410" t="str">
            <v>TS.2.10</v>
          </cell>
        </row>
        <row r="411">
          <cell r="B411" t="str">
            <v>I2.2</v>
          </cell>
          <cell r="E411" t="str">
            <v>Excavation (river channel)</v>
          </cell>
          <cell r="F411" t="str">
            <v>m³</v>
          </cell>
          <cell r="G411">
            <v>9130</v>
          </cell>
          <cell r="H411">
            <v>30448</v>
          </cell>
          <cell r="I411">
            <v>277990240</v>
          </cell>
          <cell r="J411" t="str">
            <v>TS.2.10</v>
          </cell>
        </row>
        <row r="412">
          <cell r="B412" t="str">
            <v>I2.3</v>
          </cell>
          <cell r="E412" t="str">
            <v>Stripping of top soil</v>
          </cell>
          <cell r="F412" t="str">
            <v>m³</v>
          </cell>
          <cell r="G412">
            <v>980</v>
          </cell>
          <cell r="H412">
            <v>21302</v>
          </cell>
          <cell r="I412">
            <v>20875960</v>
          </cell>
          <cell r="J412" t="str">
            <v>TS.2.10</v>
          </cell>
        </row>
        <row r="413">
          <cell r="B413" t="str">
            <v>I2.4</v>
          </cell>
          <cell r="E413" t="str">
            <v>Embankment</v>
          </cell>
          <cell r="F413" t="str">
            <v>m³</v>
          </cell>
          <cell r="G413">
            <v>2810</v>
          </cell>
          <cell r="H413">
            <v>5574</v>
          </cell>
          <cell r="I413">
            <v>15662940</v>
          </cell>
          <cell r="J413" t="str">
            <v>TS.2.10</v>
          </cell>
        </row>
        <row r="415">
          <cell r="B415" t="str">
            <v>I3</v>
          </cell>
          <cell r="E415" t="str">
            <v>(Not Applicable)</v>
          </cell>
        </row>
        <row r="417">
          <cell r="B417" t="str">
            <v>I4</v>
          </cell>
          <cell r="E417" t="str">
            <v>RELOCATION of EXISTING FARM ROAD (PE82 TO PE97) CLASS IV</v>
          </cell>
        </row>
        <row r="418">
          <cell r="B418" t="str">
            <v>I4.1</v>
          </cell>
          <cell r="E418" t="str">
            <v>Clearing and grubbing</v>
          </cell>
          <cell r="F418" t="str">
            <v>m²</v>
          </cell>
          <cell r="G418">
            <v>14000</v>
          </cell>
          <cell r="H418">
            <v>4019</v>
          </cell>
          <cell r="I418">
            <v>56266000</v>
          </cell>
          <cell r="J418" t="str">
            <v>TS.2.10</v>
          </cell>
        </row>
        <row r="419">
          <cell r="B419" t="str">
            <v>I4.2</v>
          </cell>
          <cell r="E419" t="str">
            <v>Stripping of top soil</v>
          </cell>
          <cell r="F419" t="str">
            <v>m³</v>
          </cell>
          <cell r="G419">
            <v>3280</v>
          </cell>
          <cell r="H419">
            <v>21302</v>
          </cell>
          <cell r="I419">
            <v>69870560</v>
          </cell>
          <cell r="J419" t="str">
            <v>TS.2.10</v>
          </cell>
        </row>
        <row r="420">
          <cell r="B420" t="str">
            <v>I4.3</v>
          </cell>
          <cell r="E420" t="str">
            <v>Embankment</v>
          </cell>
          <cell r="F420" t="str">
            <v>m³</v>
          </cell>
          <cell r="G420">
            <v>4750</v>
          </cell>
          <cell r="H420">
            <v>5574</v>
          </cell>
          <cell r="I420">
            <v>26476500</v>
          </cell>
          <cell r="J420" t="str">
            <v>TS.2.10</v>
          </cell>
        </row>
        <row r="421">
          <cell r="B421" t="str">
            <v>I4.4</v>
          </cell>
          <cell r="E421" t="str">
            <v>Gravel pavement, 200 mm thick</v>
          </cell>
          <cell r="F421" t="str">
            <v>m³</v>
          </cell>
          <cell r="G421">
            <v>1570</v>
          </cell>
          <cell r="H421">
            <v>77757</v>
          </cell>
          <cell r="I421">
            <v>122078490</v>
          </cell>
          <cell r="J421" t="str">
            <v>TS.7.09</v>
          </cell>
        </row>
        <row r="422">
          <cell r="B422" t="str">
            <v>I4.5</v>
          </cell>
          <cell r="E422" t="str">
            <v>Sodding</v>
          </cell>
          <cell r="F422" t="str">
            <v>m²</v>
          </cell>
          <cell r="G422">
            <v>7390</v>
          </cell>
          <cell r="H422">
            <v>6139</v>
          </cell>
          <cell r="I422">
            <v>45367210</v>
          </cell>
          <cell r="J422" t="str">
            <v>TS.4.14</v>
          </cell>
        </row>
        <row r="424">
          <cell r="B424" t="str">
            <v>I5 - I10</v>
          </cell>
          <cell r="E424" t="str">
            <v>(Not Applicable)</v>
          </cell>
        </row>
        <row r="425">
          <cell r="E425" t="str">
            <v>Total</v>
          </cell>
          <cell r="I425">
            <v>41655340867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>
        <row r="13">
          <cell r="B13" t="str">
            <v>A</v>
          </cell>
          <cell r="E13" t="str">
            <v>GENERAL</v>
          </cell>
        </row>
        <row r="14">
          <cell r="B14" t="str">
            <v>A1</v>
          </cell>
          <cell r="E14" t="str">
            <v>MOBILIZATION and DEMOBILIZATION</v>
          </cell>
          <cell r="F14" t="str">
            <v>ls</v>
          </cell>
          <cell r="G14">
            <v>1</v>
          </cell>
          <cell r="H14">
            <v>169855758</v>
          </cell>
          <cell r="I14">
            <v>169855758</v>
          </cell>
          <cell r="J14" t="str">
            <v>GS.6.03</v>
          </cell>
        </row>
        <row r="15">
          <cell r="B15" t="str">
            <v>A2</v>
          </cell>
          <cell r="E15" t="str">
            <v>ESTABLISTMENT (')</v>
          </cell>
          <cell r="F15" t="str">
            <v>ls</v>
          </cell>
          <cell r="G15">
            <v>1</v>
          </cell>
          <cell r="H15">
            <v>3152995400</v>
          </cell>
          <cell r="I15">
            <v>3152995400</v>
          </cell>
          <cell r="J15" t="str">
            <v>GS.7.02</v>
          </cell>
        </row>
        <row r="16">
          <cell r="B16" t="str">
            <v>A3</v>
          </cell>
          <cell r="E16" t="str">
            <v>RELOCATION of EXISTING FACILITIES</v>
          </cell>
          <cell r="F16" t="str">
            <v>ls</v>
          </cell>
          <cell r="G16">
            <v>1</v>
          </cell>
          <cell r="H16">
            <v>13322020</v>
          </cell>
          <cell r="I16">
            <v>13322020</v>
          </cell>
          <cell r="J16" t="str">
            <v>GS.14.04</v>
          </cell>
        </row>
        <row r="17">
          <cell r="B17" t="str">
            <v>A4</v>
          </cell>
          <cell r="E17" t="str">
            <v>GEOLOGICAL INVESTIGATION</v>
          </cell>
        </row>
        <row r="18">
          <cell r="B18" t="str">
            <v>A4.1</v>
          </cell>
          <cell r="E18" t="str">
            <v>Hand Auger</v>
          </cell>
          <cell r="F18" t="str">
            <v>m</v>
          </cell>
          <cell r="G18">
            <v>130</v>
          </cell>
          <cell r="H18">
            <v>159864</v>
          </cell>
          <cell r="I18">
            <v>20782320</v>
          </cell>
          <cell r="J18" t="str">
            <v>GS.9.06</v>
          </cell>
        </row>
        <row r="19">
          <cell r="B19" t="str">
            <v>A4.2</v>
          </cell>
          <cell r="E19" t="str">
            <v>Mechanical Boring</v>
          </cell>
          <cell r="F19" t="str">
            <v>m</v>
          </cell>
          <cell r="G19">
            <v>400</v>
          </cell>
          <cell r="H19">
            <v>266440</v>
          </cell>
          <cell r="I19">
            <v>106576000</v>
          </cell>
          <cell r="J19" t="str">
            <v>GS.9.06</v>
          </cell>
        </row>
        <row r="20">
          <cell r="B20" t="str">
            <v>A4.3</v>
          </cell>
          <cell r="E20" t="str">
            <v>Exploratory Excavation</v>
          </cell>
          <cell r="F20" t="str">
            <v>m³</v>
          </cell>
          <cell r="G20">
            <v>800</v>
          </cell>
          <cell r="H20">
            <v>42791</v>
          </cell>
          <cell r="I20">
            <v>34232800</v>
          </cell>
          <cell r="J20" t="str">
            <v>GS.9.06</v>
          </cell>
        </row>
        <row r="22">
          <cell r="B22" t="str">
            <v>B</v>
          </cell>
          <cell r="E22" t="str">
            <v>CHANNEL and DIKE WORKS</v>
          </cell>
        </row>
        <row r="23">
          <cell r="B23" t="str">
            <v>B1</v>
          </cell>
          <cell r="E23" t="str">
            <v>PREPARATION WORKS</v>
          </cell>
        </row>
        <row r="24">
          <cell r="B24" t="str">
            <v>B1.1</v>
          </cell>
          <cell r="E24" t="str">
            <v>Clearing and Grubbing</v>
          </cell>
          <cell r="F24" t="str">
            <v>m²</v>
          </cell>
          <cell r="G24">
            <v>528000</v>
          </cell>
          <cell r="H24">
            <v>4019</v>
          </cell>
          <cell r="I24">
            <v>2122032000</v>
          </cell>
          <cell r="J24" t="str">
            <v>TS.2.10</v>
          </cell>
        </row>
        <row r="25">
          <cell r="B25" t="str">
            <v>B2</v>
          </cell>
          <cell r="E25" t="str">
            <v xml:space="preserve">CHANNEL EXCAVATION </v>
          </cell>
        </row>
        <row r="26">
          <cell r="B26" t="str">
            <v>B2.1</v>
          </cell>
          <cell r="E26" t="str">
            <v>Excavation (river channel)</v>
          </cell>
          <cell r="F26" t="str">
            <v>m³</v>
          </cell>
          <cell r="G26">
            <v>166200</v>
          </cell>
          <cell r="H26">
            <v>30448</v>
          </cell>
          <cell r="I26">
            <v>5060457600</v>
          </cell>
          <cell r="J26" t="str">
            <v>TS.2.10</v>
          </cell>
        </row>
        <row r="28">
          <cell r="B28" t="str">
            <v>B2.2</v>
          </cell>
          <cell r="E28" t="str">
            <v>Excavation (common)</v>
          </cell>
          <cell r="F28" t="str">
            <v>m³</v>
          </cell>
          <cell r="G28">
            <v>340900</v>
          </cell>
          <cell r="H28">
            <v>15679</v>
          </cell>
          <cell r="I28">
            <v>5344971100</v>
          </cell>
          <cell r="J28" t="str">
            <v>TS.2.10</v>
          </cell>
        </row>
        <row r="30">
          <cell r="B30" t="str">
            <v>B3</v>
          </cell>
          <cell r="E30" t="str">
            <v>EARTH DIKE WORKS</v>
          </cell>
        </row>
        <row r="31">
          <cell r="B31" t="str">
            <v>B3.1</v>
          </cell>
          <cell r="E31" t="str">
            <v>Stripping of top soil</v>
          </cell>
          <cell r="F31" t="str">
            <v>m³</v>
          </cell>
          <cell r="G31">
            <v>61000</v>
          </cell>
          <cell r="H31">
            <v>21302</v>
          </cell>
          <cell r="I31">
            <v>1299422000</v>
          </cell>
          <cell r="J31" t="str">
            <v>TS.2.10</v>
          </cell>
        </row>
        <row r="32">
          <cell r="B32" t="str">
            <v>B3.2</v>
          </cell>
          <cell r="E32" t="str">
            <v>Embankment</v>
          </cell>
          <cell r="F32" t="str">
            <v>m³</v>
          </cell>
          <cell r="G32">
            <v>338000</v>
          </cell>
          <cell r="H32">
            <v>5574</v>
          </cell>
          <cell r="I32">
            <v>1884012000</v>
          </cell>
          <cell r="J32" t="str">
            <v>TS.2.10</v>
          </cell>
        </row>
        <row r="34">
          <cell r="B34" t="str">
            <v>B3.3</v>
          </cell>
          <cell r="E34" t="str">
            <v>Gravel pavement, 200 mm thick</v>
          </cell>
          <cell r="F34" t="str">
            <v>m³</v>
          </cell>
          <cell r="G34">
            <v>9430</v>
          </cell>
          <cell r="H34">
            <v>77757</v>
          </cell>
          <cell r="I34">
            <v>733248510</v>
          </cell>
          <cell r="J34" t="str">
            <v>TS.7.09</v>
          </cell>
        </row>
        <row r="35">
          <cell r="B35" t="str">
            <v>B3.4</v>
          </cell>
          <cell r="E35" t="str">
            <v>Maintenance marker post</v>
          </cell>
          <cell r="F35" t="str">
            <v>nos</v>
          </cell>
          <cell r="G35">
            <v>100</v>
          </cell>
          <cell r="H35">
            <v>165804</v>
          </cell>
          <cell r="I35">
            <v>16580400</v>
          </cell>
          <cell r="J35" t="str">
            <v>TS.12.10</v>
          </cell>
        </row>
        <row r="37">
          <cell r="B37" t="str">
            <v>B4-B5</v>
          </cell>
          <cell r="E37" t="str">
            <v>(Not Applicable)</v>
          </cell>
        </row>
        <row r="39">
          <cell r="B39" t="str">
            <v>B6</v>
          </cell>
          <cell r="E39" t="str">
            <v>FILLING ON RIVER BANK</v>
          </cell>
        </row>
        <row r="40">
          <cell r="B40" t="str">
            <v>B6.1</v>
          </cell>
          <cell r="E40" t="str">
            <v>Soil filling</v>
          </cell>
          <cell r="F40" t="str">
            <v>m³</v>
          </cell>
          <cell r="G40">
            <v>8100</v>
          </cell>
          <cell r="H40">
            <v>5574</v>
          </cell>
          <cell r="I40">
            <v>45149400</v>
          </cell>
          <cell r="J40" t="str">
            <v>TS.2.10</v>
          </cell>
        </row>
        <row r="42">
          <cell r="B42" t="str">
            <v>C</v>
          </cell>
          <cell r="E42" t="str">
            <v xml:space="preserve">SLOPE and RIVERBED PROTECTION WORKS </v>
          </cell>
        </row>
        <row r="43">
          <cell r="B43" t="str">
            <v>C1</v>
          </cell>
          <cell r="E43" t="str">
            <v>PREPARATION WORKS</v>
          </cell>
        </row>
        <row r="44">
          <cell r="B44" t="str">
            <v>C1.1</v>
          </cell>
          <cell r="E44" t="str">
            <v>Coffering and dewatering</v>
          </cell>
          <cell r="F44" t="str">
            <v>ls</v>
          </cell>
          <cell r="G44">
            <v>1</v>
          </cell>
          <cell r="H44">
            <v>59146369</v>
          </cell>
          <cell r="I44">
            <v>59146369</v>
          </cell>
          <cell r="J44" t="str">
            <v>TS.1.04</v>
          </cell>
        </row>
        <row r="45">
          <cell r="B45" t="str">
            <v>C2</v>
          </cell>
          <cell r="E45" t="str">
            <v>SODDING and DIKE</v>
          </cell>
        </row>
        <row r="46">
          <cell r="B46" t="str">
            <v>C2.1</v>
          </cell>
          <cell r="E46" t="str">
            <v>Solid sodding</v>
          </cell>
          <cell r="F46" t="str">
            <v>m²</v>
          </cell>
          <cell r="G46">
            <v>175400</v>
          </cell>
          <cell r="H46">
            <v>6139</v>
          </cell>
          <cell r="I46">
            <v>1076780600</v>
          </cell>
          <cell r="J46" t="str">
            <v>TS.4.14</v>
          </cell>
        </row>
        <row r="47">
          <cell r="B47" t="str">
            <v>C3</v>
          </cell>
          <cell r="E47" t="str">
            <v>REVETMENT - WET STONE MASONRY TYPE (Type-PA and PB)</v>
          </cell>
        </row>
        <row r="48">
          <cell r="B48" t="str">
            <v>C3.1</v>
          </cell>
          <cell r="E48" t="str">
            <v>Excavation (common)</v>
          </cell>
          <cell r="F48" t="str">
            <v>m³</v>
          </cell>
          <cell r="G48">
            <v>7220</v>
          </cell>
          <cell r="H48">
            <v>6921</v>
          </cell>
          <cell r="I48">
            <v>49969620</v>
          </cell>
          <cell r="J48" t="str">
            <v>TS.2.10</v>
          </cell>
        </row>
        <row r="49">
          <cell r="B49" t="str">
            <v>C3.2</v>
          </cell>
          <cell r="E49" t="str">
            <v>Backfill with selected soil</v>
          </cell>
          <cell r="F49" t="str">
            <v>m³</v>
          </cell>
          <cell r="G49">
            <v>110</v>
          </cell>
          <cell r="H49">
            <v>5530</v>
          </cell>
          <cell r="I49">
            <v>608300</v>
          </cell>
          <cell r="J49" t="str">
            <v>TS.2.10</v>
          </cell>
        </row>
        <row r="50">
          <cell r="B50" t="str">
            <v>C3.3</v>
          </cell>
          <cell r="E50" t="str">
            <v>Crusher run bedding</v>
          </cell>
          <cell r="F50" t="str">
            <v>m³</v>
          </cell>
          <cell r="G50">
            <v>2670</v>
          </cell>
          <cell r="H50">
            <v>128530</v>
          </cell>
          <cell r="I50">
            <v>343175100</v>
          </cell>
          <cell r="J50" t="str">
            <v>TS.4.14</v>
          </cell>
        </row>
        <row r="51">
          <cell r="B51" t="str">
            <v>C3.4</v>
          </cell>
          <cell r="E51" t="str">
            <v>Wet stone masonry (1:4) for revetment</v>
          </cell>
          <cell r="F51" t="str">
            <v>m³</v>
          </cell>
          <cell r="G51">
            <v>2680</v>
          </cell>
          <cell r="H51">
            <v>163909</v>
          </cell>
          <cell r="I51">
            <v>439276120</v>
          </cell>
          <cell r="J51" t="str">
            <v>TS.4.14</v>
          </cell>
        </row>
        <row r="52">
          <cell r="B52" t="str">
            <v>C3.5</v>
          </cell>
          <cell r="E52" t="str">
            <v>Cement mortar plastering</v>
          </cell>
          <cell r="F52" t="str">
            <v>m²</v>
          </cell>
          <cell r="G52">
            <v>6330</v>
          </cell>
          <cell r="H52">
            <v>12274</v>
          </cell>
          <cell r="I52">
            <v>77694420</v>
          </cell>
          <cell r="J52" t="str">
            <v>TS.4.14</v>
          </cell>
        </row>
        <row r="53">
          <cell r="B53" t="str">
            <v>C3.6</v>
          </cell>
          <cell r="E53" t="str">
            <v>Concrete, type C1</v>
          </cell>
          <cell r="F53" t="str">
            <v>m³</v>
          </cell>
          <cell r="G53">
            <v>650</v>
          </cell>
          <cell r="H53">
            <v>310964</v>
          </cell>
          <cell r="I53">
            <v>202126600</v>
          </cell>
          <cell r="J53" t="str">
            <v>TS.3.24</v>
          </cell>
        </row>
        <row r="54">
          <cell r="B54" t="str">
            <v>C3.7</v>
          </cell>
          <cell r="E54" t="str">
            <v>Reinforcing steel bar</v>
          </cell>
          <cell r="F54" t="str">
            <v>kg</v>
          </cell>
          <cell r="G54">
            <v>39100</v>
          </cell>
          <cell r="H54">
            <v>3554</v>
          </cell>
          <cell r="I54">
            <v>138961400</v>
          </cell>
          <cell r="J54" t="str">
            <v>TS.3.24</v>
          </cell>
        </row>
        <row r="55">
          <cell r="B55" t="str">
            <v>C3.8</v>
          </cell>
          <cell r="E55" t="str">
            <v>Form work FW1</v>
          </cell>
          <cell r="F55" t="str">
            <v>m²</v>
          </cell>
          <cell r="G55">
            <v>4200</v>
          </cell>
          <cell r="H55">
            <v>70833</v>
          </cell>
          <cell r="I55">
            <v>297498600</v>
          </cell>
          <cell r="J55" t="str">
            <v>TS.3.24</v>
          </cell>
        </row>
        <row r="56">
          <cell r="B56" t="str">
            <v>C3.9</v>
          </cell>
          <cell r="E56" t="str">
            <v>Log pile, dia. 150 mm L = 3.0 m and 2.0 m</v>
          </cell>
          <cell r="F56" t="str">
            <v>m</v>
          </cell>
          <cell r="G56">
            <v>1330</v>
          </cell>
          <cell r="H56">
            <v>7918</v>
          </cell>
          <cell r="I56">
            <v>10530940</v>
          </cell>
          <cell r="J56" t="str">
            <v>TS.5.07</v>
          </cell>
        </row>
        <row r="57">
          <cell r="B57" t="str">
            <v>C3.10</v>
          </cell>
          <cell r="E57" t="str">
            <v>Elastic joint filler, 10 mm thick</v>
          </cell>
          <cell r="F57" t="str">
            <v>m²</v>
          </cell>
          <cell r="G57">
            <v>420</v>
          </cell>
          <cell r="H57">
            <v>107210</v>
          </cell>
          <cell r="I57">
            <v>45028200</v>
          </cell>
          <cell r="J57" t="str">
            <v>TS.3.24</v>
          </cell>
        </row>
        <row r="58">
          <cell r="B58" t="str">
            <v>C3.11</v>
          </cell>
          <cell r="E58" t="str">
            <v>Gabion cylinder</v>
          </cell>
          <cell r="F58" t="str">
            <v>m³</v>
          </cell>
          <cell r="G58">
            <v>390</v>
          </cell>
          <cell r="H58">
            <v>200326</v>
          </cell>
          <cell r="I58">
            <v>78127140</v>
          </cell>
          <cell r="J58" t="str">
            <v>TS.4.14</v>
          </cell>
        </row>
        <row r="59">
          <cell r="B59" t="str">
            <v>C3.12</v>
          </cell>
          <cell r="E59" t="str">
            <v>Cobble stone filling</v>
          </cell>
          <cell r="F59" t="str">
            <v>m³</v>
          </cell>
          <cell r="G59">
            <v>100</v>
          </cell>
          <cell r="H59">
            <v>57655</v>
          </cell>
          <cell r="I59">
            <v>5765500</v>
          </cell>
          <cell r="J59" t="str">
            <v>TS.4.14</v>
          </cell>
        </row>
        <row r="60">
          <cell r="B60" t="str">
            <v>C4</v>
          </cell>
          <cell r="E60" t="str">
            <v>GABION TYPE FOOT PROTECTION</v>
          </cell>
        </row>
        <row r="61">
          <cell r="B61" t="str">
            <v>C4.1</v>
          </cell>
          <cell r="E61" t="str">
            <v>Cobble stone filling</v>
          </cell>
          <cell r="F61" t="str">
            <v>m³</v>
          </cell>
          <cell r="G61">
            <v>120</v>
          </cell>
          <cell r="H61">
            <v>57655</v>
          </cell>
          <cell r="I61">
            <v>6918600</v>
          </cell>
          <cell r="J61" t="str">
            <v>TS.4.14</v>
          </cell>
        </row>
        <row r="62">
          <cell r="B62" t="str">
            <v>C4.2</v>
          </cell>
          <cell r="E62" t="str">
            <v>Gabion mattress</v>
          </cell>
          <cell r="F62" t="str">
            <v>m³</v>
          </cell>
          <cell r="G62">
            <v>820</v>
          </cell>
          <cell r="H62">
            <v>283607</v>
          </cell>
          <cell r="I62">
            <v>232557740</v>
          </cell>
          <cell r="J62" t="str">
            <v>TS.4.14</v>
          </cell>
        </row>
        <row r="63">
          <cell r="B63" t="str">
            <v>C5</v>
          </cell>
          <cell r="E63" t="str">
            <v>REVETMENT - GABION CYLINDER TYPE</v>
          </cell>
        </row>
        <row r="64">
          <cell r="B64" t="str">
            <v>C5.1</v>
          </cell>
          <cell r="E64" t="str">
            <v>Excavation (common)</v>
          </cell>
          <cell r="F64" t="str">
            <v>m³</v>
          </cell>
          <cell r="G64">
            <v>340</v>
          </cell>
          <cell r="H64">
            <v>6921</v>
          </cell>
          <cell r="I64">
            <v>2353140</v>
          </cell>
          <cell r="J64" t="str">
            <v>TS.2.10</v>
          </cell>
        </row>
        <row r="65">
          <cell r="B65" t="str">
            <v>C5.2</v>
          </cell>
          <cell r="E65" t="str">
            <v>Gabion cylinder</v>
          </cell>
          <cell r="F65" t="str">
            <v>m³</v>
          </cell>
          <cell r="G65">
            <v>3010</v>
          </cell>
          <cell r="H65">
            <v>200326</v>
          </cell>
          <cell r="I65">
            <v>602981260</v>
          </cell>
          <cell r="J65" t="str">
            <v>TS.4.14</v>
          </cell>
        </row>
        <row r="66">
          <cell r="B66" t="str">
            <v>C5.3</v>
          </cell>
          <cell r="E66" t="str">
            <v>Cobble stone filling</v>
          </cell>
          <cell r="F66" t="str">
            <v>m³</v>
          </cell>
          <cell r="G66">
            <v>140</v>
          </cell>
          <cell r="H66">
            <v>57655</v>
          </cell>
          <cell r="I66">
            <v>8071700</v>
          </cell>
          <cell r="J66" t="str">
            <v>TS.4.14</v>
          </cell>
        </row>
        <row r="67">
          <cell r="B67" t="str">
            <v>C5.4</v>
          </cell>
          <cell r="E67" t="str">
            <v>Log piles, dia. 150 mm, L =  2.0 m</v>
          </cell>
          <cell r="F67" t="str">
            <v>m</v>
          </cell>
          <cell r="G67">
            <v>2280</v>
          </cell>
          <cell r="H67">
            <v>7918</v>
          </cell>
          <cell r="I67">
            <v>18053040</v>
          </cell>
          <cell r="J67" t="str">
            <v>TS.5.07</v>
          </cell>
        </row>
        <row r="68">
          <cell r="B68" t="str">
            <v>C5.5</v>
          </cell>
          <cell r="E68" t="str">
            <v>Palm fiber filter</v>
          </cell>
          <cell r="F68" t="str">
            <v>m²</v>
          </cell>
          <cell r="G68">
            <v>5430</v>
          </cell>
          <cell r="H68">
            <v>1086</v>
          </cell>
          <cell r="I68">
            <v>5896980</v>
          </cell>
          <cell r="J68" t="str">
            <v>TS.4.14</v>
          </cell>
        </row>
        <row r="70">
          <cell r="B70" t="str">
            <v>C6 - C13</v>
          </cell>
          <cell r="E70" t="str">
            <v>(Not Applicable)</v>
          </cell>
        </row>
        <row r="72">
          <cell r="B72" t="str">
            <v>D</v>
          </cell>
          <cell r="E72" t="str">
            <v>RIPARIAN STRUCTURES</v>
          </cell>
        </row>
        <row r="73">
          <cell r="B73" t="str">
            <v>D1</v>
          </cell>
          <cell r="E73" t="str">
            <v>PREPARATION WORKS for REPARIAN STRUCTURES</v>
          </cell>
        </row>
        <row r="74">
          <cell r="B74" t="str">
            <v>D1.1</v>
          </cell>
          <cell r="E74" t="str">
            <v>Coffering and dewatering</v>
          </cell>
          <cell r="F74" t="str">
            <v>ls</v>
          </cell>
          <cell r="G74">
            <v>1</v>
          </cell>
          <cell r="H74">
            <v>116922339</v>
          </cell>
          <cell r="I74">
            <v>116922339</v>
          </cell>
          <cell r="J74" t="str">
            <v>TS.1.04</v>
          </cell>
        </row>
        <row r="75">
          <cell r="B75" t="str">
            <v>D1.2</v>
          </cell>
          <cell r="E75" t="str">
            <v>Clearing and grubbing</v>
          </cell>
          <cell r="F75" t="str">
            <v>m²</v>
          </cell>
          <cell r="G75">
            <v>550</v>
          </cell>
          <cell r="H75">
            <v>4019</v>
          </cell>
          <cell r="I75">
            <v>2210450</v>
          </cell>
          <cell r="J75" t="str">
            <v>TS.2.10</v>
          </cell>
        </row>
        <row r="76">
          <cell r="B76" t="str">
            <v>D2</v>
          </cell>
          <cell r="E76" t="str">
            <v>GROUND SILL (PE55+00)</v>
          </cell>
        </row>
        <row r="77">
          <cell r="B77" t="str">
            <v>D2.1</v>
          </cell>
          <cell r="E77" t="str">
            <v>Excavation (common)</v>
          </cell>
          <cell r="F77" t="str">
            <v>m³</v>
          </cell>
          <cell r="G77">
            <v>450</v>
          </cell>
          <cell r="H77">
            <v>6921</v>
          </cell>
          <cell r="I77">
            <v>3114450</v>
          </cell>
          <cell r="J77" t="str">
            <v>TS.2.10</v>
          </cell>
        </row>
        <row r="78">
          <cell r="B78" t="str">
            <v>D2.2</v>
          </cell>
          <cell r="E78" t="str">
            <v>Backfill with selected soil</v>
          </cell>
          <cell r="F78" t="str">
            <v>m³</v>
          </cell>
          <cell r="G78">
            <v>80</v>
          </cell>
          <cell r="H78">
            <v>5530</v>
          </cell>
          <cell r="I78">
            <v>442400</v>
          </cell>
          <cell r="J78" t="str">
            <v>TS.2.10</v>
          </cell>
        </row>
        <row r="79">
          <cell r="B79" t="str">
            <v>D2.3</v>
          </cell>
          <cell r="E79" t="str">
            <v>Supply and driving of steel sheet piles, type II</v>
          </cell>
          <cell r="F79" t="str">
            <v>m²</v>
          </cell>
          <cell r="G79">
            <v>130</v>
          </cell>
          <cell r="H79">
            <v>759138</v>
          </cell>
          <cell r="I79">
            <v>98687940</v>
          </cell>
          <cell r="J79" t="str">
            <v>TS.5.07</v>
          </cell>
        </row>
        <row r="80">
          <cell r="B80" t="str">
            <v>D2.4</v>
          </cell>
          <cell r="E80" t="str">
            <v>Supply and driving of PC  piles, dia. 300 mm type A</v>
          </cell>
          <cell r="F80" t="str">
            <v>m</v>
          </cell>
          <cell r="G80">
            <v>320</v>
          </cell>
          <cell r="H80">
            <v>143685</v>
          </cell>
          <cell r="I80">
            <v>45979200</v>
          </cell>
          <cell r="J80" t="str">
            <v>TS.5.07</v>
          </cell>
        </row>
        <row r="81">
          <cell r="B81" t="str">
            <v>D2.5</v>
          </cell>
          <cell r="E81" t="str">
            <v>Concrete, type C1</v>
          </cell>
          <cell r="F81" t="str">
            <v>m³</v>
          </cell>
          <cell r="G81">
            <v>100</v>
          </cell>
          <cell r="H81">
            <v>313783</v>
          </cell>
          <cell r="I81">
            <v>31378300</v>
          </cell>
          <cell r="J81" t="str">
            <v>TS.3.24</v>
          </cell>
        </row>
        <row r="82">
          <cell r="B82" t="str">
            <v>D2.6</v>
          </cell>
          <cell r="E82" t="str">
            <v>Concrete, type E</v>
          </cell>
          <cell r="F82" t="str">
            <v>m³</v>
          </cell>
          <cell r="G82">
            <v>18</v>
          </cell>
          <cell r="H82">
            <v>291125</v>
          </cell>
          <cell r="I82">
            <v>5240250</v>
          </cell>
          <cell r="J82" t="str">
            <v>TS.3.24</v>
          </cell>
        </row>
        <row r="83">
          <cell r="B83" t="str">
            <v>D2.7</v>
          </cell>
          <cell r="E83" t="str">
            <v>Form work FW1</v>
          </cell>
          <cell r="F83" t="str">
            <v>m²</v>
          </cell>
          <cell r="G83">
            <v>79</v>
          </cell>
          <cell r="H83">
            <v>70833</v>
          </cell>
          <cell r="I83">
            <v>5595807</v>
          </cell>
          <cell r="J83" t="str">
            <v>TS.3.24</v>
          </cell>
        </row>
        <row r="84">
          <cell r="B84" t="str">
            <v>D2.8</v>
          </cell>
          <cell r="E84" t="str">
            <v>Reinforcing steel bar</v>
          </cell>
          <cell r="F84" t="str">
            <v>kg</v>
          </cell>
          <cell r="G84">
            <v>92</v>
          </cell>
          <cell r="H84">
            <v>3554</v>
          </cell>
          <cell r="I84">
            <v>326968</v>
          </cell>
          <cell r="J84" t="str">
            <v>TS.3.24</v>
          </cell>
        </row>
        <row r="85">
          <cell r="B85" t="str">
            <v>D2.9</v>
          </cell>
          <cell r="E85" t="str">
            <v>Gabion mattress</v>
          </cell>
          <cell r="F85" t="str">
            <v>m³</v>
          </cell>
          <cell r="G85">
            <v>180</v>
          </cell>
          <cell r="H85">
            <v>283607</v>
          </cell>
          <cell r="I85">
            <v>51049260</v>
          </cell>
          <cell r="J85" t="str">
            <v>TS.4.14</v>
          </cell>
        </row>
        <row r="86">
          <cell r="B86" t="str">
            <v>D3</v>
          </cell>
          <cell r="E86" t="str">
            <v>(Not Applicable)</v>
          </cell>
        </row>
        <row r="87">
          <cell r="B87" t="str">
            <v>D4</v>
          </cell>
          <cell r="E87" t="str">
            <v>APPROACH STEPS, TYPE PA (24 place)</v>
          </cell>
        </row>
        <row r="88">
          <cell r="B88" t="str">
            <v>D4.1</v>
          </cell>
          <cell r="E88" t="str">
            <v>Excavation (common)</v>
          </cell>
          <cell r="F88" t="str">
            <v>m³</v>
          </cell>
          <cell r="G88">
            <v>1810</v>
          </cell>
          <cell r="H88">
            <v>6921</v>
          </cell>
          <cell r="I88">
            <v>12527010</v>
          </cell>
          <cell r="J88" t="str">
            <v>TS.2.10</v>
          </cell>
        </row>
        <row r="89">
          <cell r="B89" t="str">
            <v>D4.2</v>
          </cell>
          <cell r="E89" t="str">
            <v>Backfill with selected soil</v>
          </cell>
          <cell r="F89" t="str">
            <v>m³</v>
          </cell>
          <cell r="G89">
            <v>12</v>
          </cell>
          <cell r="H89">
            <v>5530</v>
          </cell>
          <cell r="I89">
            <v>66360</v>
          </cell>
          <cell r="J89" t="str">
            <v>TS.2.10</v>
          </cell>
        </row>
        <row r="90">
          <cell r="B90" t="str">
            <v>D4.3</v>
          </cell>
          <cell r="E90" t="str">
            <v>Log pile, dia. 150 mm L = 3.0 mm and 2.0 m</v>
          </cell>
          <cell r="F90" t="str">
            <v>m</v>
          </cell>
          <cell r="G90">
            <v>1150</v>
          </cell>
          <cell r="H90">
            <v>7918</v>
          </cell>
          <cell r="I90">
            <v>9105700</v>
          </cell>
          <cell r="J90" t="str">
            <v>TS.5.07</v>
          </cell>
        </row>
        <row r="91">
          <cell r="B91" t="str">
            <v>D4.4</v>
          </cell>
          <cell r="E91" t="str">
            <v>Concrete, type C1</v>
          </cell>
          <cell r="F91" t="str">
            <v>m³</v>
          </cell>
          <cell r="G91">
            <v>29</v>
          </cell>
          <cell r="H91">
            <v>321937</v>
          </cell>
          <cell r="I91">
            <v>9336173</v>
          </cell>
          <cell r="J91" t="str">
            <v>TS.3.24</v>
          </cell>
        </row>
        <row r="92">
          <cell r="B92" t="str">
            <v>D4.5</v>
          </cell>
          <cell r="E92" t="str">
            <v>Concrete, type C2</v>
          </cell>
          <cell r="F92" t="str">
            <v>m³</v>
          </cell>
          <cell r="G92">
            <v>210</v>
          </cell>
          <cell r="H92">
            <v>312038</v>
          </cell>
          <cell r="I92">
            <v>65527980</v>
          </cell>
          <cell r="J92" t="str">
            <v>TS.3.24</v>
          </cell>
        </row>
        <row r="93">
          <cell r="B93" t="str">
            <v>D4.6</v>
          </cell>
          <cell r="E93" t="str">
            <v>Concrete, type E</v>
          </cell>
          <cell r="F93" t="str">
            <v>m³</v>
          </cell>
          <cell r="G93">
            <v>20</v>
          </cell>
          <cell r="H93">
            <v>290200</v>
          </cell>
          <cell r="I93">
            <v>5804000</v>
          </cell>
          <cell r="J93" t="str">
            <v>TS.3.24</v>
          </cell>
        </row>
        <row r="94">
          <cell r="B94" t="str">
            <v>D4.7</v>
          </cell>
          <cell r="E94" t="str">
            <v>Reinforcing steel bar</v>
          </cell>
          <cell r="F94" t="str">
            <v>kg</v>
          </cell>
          <cell r="G94">
            <v>1090</v>
          </cell>
          <cell r="H94">
            <v>3554</v>
          </cell>
          <cell r="I94">
            <v>3873860</v>
          </cell>
          <cell r="J94" t="str">
            <v>TS.3.24</v>
          </cell>
        </row>
        <row r="95">
          <cell r="B95" t="str">
            <v>D4.8</v>
          </cell>
          <cell r="E95" t="str">
            <v>Form work FW1</v>
          </cell>
          <cell r="F95" t="str">
            <v>m²</v>
          </cell>
          <cell r="G95">
            <v>670</v>
          </cell>
          <cell r="H95">
            <v>70833</v>
          </cell>
          <cell r="I95">
            <v>47458110</v>
          </cell>
          <cell r="J95" t="str">
            <v>TS.3.24</v>
          </cell>
        </row>
        <row r="96">
          <cell r="B96" t="str">
            <v>D4.9</v>
          </cell>
          <cell r="E96" t="str">
            <v xml:space="preserve">Wet stone masonry (1:4) for revetment </v>
          </cell>
          <cell r="F96" t="str">
            <v>m³</v>
          </cell>
          <cell r="G96">
            <v>170</v>
          </cell>
          <cell r="H96">
            <v>163909</v>
          </cell>
          <cell r="I96">
            <v>27864530</v>
          </cell>
          <cell r="J96" t="str">
            <v>TS.4.14</v>
          </cell>
        </row>
        <row r="97">
          <cell r="B97" t="str">
            <v>D4.10</v>
          </cell>
          <cell r="E97" t="str">
            <v>Crusher run bedding</v>
          </cell>
          <cell r="F97" t="str">
            <v>m³</v>
          </cell>
          <cell r="G97">
            <v>270</v>
          </cell>
          <cell r="H97">
            <v>128530</v>
          </cell>
          <cell r="I97">
            <v>34703100</v>
          </cell>
          <cell r="J97" t="str">
            <v>TS.4.14</v>
          </cell>
        </row>
        <row r="98">
          <cell r="B98" t="str">
            <v>D4.11</v>
          </cell>
          <cell r="E98" t="str">
            <v>Plastering</v>
          </cell>
          <cell r="F98" t="str">
            <v>m²</v>
          </cell>
          <cell r="G98">
            <v>570</v>
          </cell>
          <cell r="H98">
            <v>10137</v>
          </cell>
          <cell r="I98">
            <v>5778090</v>
          </cell>
          <cell r="J98" t="str">
            <v>TS.4.14</v>
          </cell>
        </row>
        <row r="99">
          <cell r="B99" t="str">
            <v>D4.12</v>
          </cell>
          <cell r="E99" t="str">
            <v>Gabion mattress</v>
          </cell>
          <cell r="F99" t="str">
            <v>m³</v>
          </cell>
          <cell r="G99">
            <v>360</v>
          </cell>
          <cell r="H99">
            <v>283607</v>
          </cell>
          <cell r="I99">
            <v>102098520</v>
          </cell>
          <cell r="J99" t="str">
            <v>TS.4.14</v>
          </cell>
        </row>
        <row r="100">
          <cell r="B100" t="str">
            <v>D4.13</v>
          </cell>
          <cell r="E100" t="str">
            <v>Gabion cylinder</v>
          </cell>
          <cell r="F100" t="str">
            <v>m³</v>
          </cell>
          <cell r="G100">
            <v>330</v>
          </cell>
          <cell r="H100">
            <v>200326</v>
          </cell>
          <cell r="I100">
            <v>66107580</v>
          </cell>
          <cell r="J100" t="str">
            <v>TS.4.14</v>
          </cell>
        </row>
        <row r="101">
          <cell r="B101" t="str">
            <v>D4.14</v>
          </cell>
          <cell r="E101" t="str">
            <v>Cobble stone filling</v>
          </cell>
          <cell r="F101" t="str">
            <v>m³</v>
          </cell>
          <cell r="G101">
            <v>150</v>
          </cell>
          <cell r="H101">
            <v>57655</v>
          </cell>
          <cell r="I101">
            <v>8648250</v>
          </cell>
          <cell r="J101" t="str">
            <v>TS.4.14</v>
          </cell>
        </row>
        <row r="102">
          <cell r="B102" t="str">
            <v>D5</v>
          </cell>
          <cell r="E102" t="str">
            <v>APPROACH STEPS, TYPE PB (26 place)</v>
          </cell>
        </row>
        <row r="103">
          <cell r="B103" t="str">
            <v>D5.1</v>
          </cell>
          <cell r="E103" t="str">
            <v>Excavation (common)</v>
          </cell>
          <cell r="F103" t="str">
            <v>m³</v>
          </cell>
          <cell r="G103">
            <v>290</v>
          </cell>
          <cell r="H103">
            <v>6921</v>
          </cell>
          <cell r="I103">
            <v>2007090</v>
          </cell>
          <cell r="J103" t="str">
            <v>TS.2.10</v>
          </cell>
        </row>
        <row r="104">
          <cell r="B104" t="str">
            <v>D5.2</v>
          </cell>
          <cell r="E104" t="str">
            <v>Backfill with selected soil</v>
          </cell>
          <cell r="F104" t="str">
            <v>m³</v>
          </cell>
          <cell r="G104">
            <v>22</v>
          </cell>
          <cell r="H104">
            <v>5530</v>
          </cell>
          <cell r="I104">
            <v>121660</v>
          </cell>
          <cell r="J104" t="str">
            <v>TS.2.10</v>
          </cell>
        </row>
        <row r="105">
          <cell r="B105" t="str">
            <v>D5.3</v>
          </cell>
          <cell r="E105" t="str">
            <v>Concrete, type C1</v>
          </cell>
          <cell r="F105" t="str">
            <v>m³</v>
          </cell>
          <cell r="G105">
            <v>15</v>
          </cell>
          <cell r="H105">
            <v>332655</v>
          </cell>
          <cell r="I105">
            <v>4989825</v>
          </cell>
          <cell r="J105" t="str">
            <v>TS.3.24</v>
          </cell>
        </row>
        <row r="106">
          <cell r="B106" t="str">
            <v>D5.4</v>
          </cell>
          <cell r="E106" t="str">
            <v>Concrete, type C2</v>
          </cell>
          <cell r="F106" t="str">
            <v>m³</v>
          </cell>
          <cell r="G106">
            <v>100</v>
          </cell>
          <cell r="H106">
            <v>313783</v>
          </cell>
          <cell r="I106">
            <v>31378300</v>
          </cell>
          <cell r="J106" t="str">
            <v>TS.3.24</v>
          </cell>
        </row>
        <row r="107">
          <cell r="B107" t="str">
            <v>D5.5</v>
          </cell>
          <cell r="E107" t="str">
            <v>Form work FW1</v>
          </cell>
          <cell r="F107" t="str">
            <v>m²</v>
          </cell>
          <cell r="G107">
            <v>610</v>
          </cell>
          <cell r="H107">
            <v>70833</v>
          </cell>
          <cell r="I107">
            <v>43208130</v>
          </cell>
          <cell r="J107" t="str">
            <v>TS.3.24</v>
          </cell>
        </row>
        <row r="108">
          <cell r="B108" t="str">
            <v>D5.6</v>
          </cell>
          <cell r="E108" t="str">
            <v>Crusher run bedding</v>
          </cell>
          <cell r="F108" t="str">
            <v>m³</v>
          </cell>
          <cell r="G108">
            <v>99</v>
          </cell>
          <cell r="H108">
            <v>128530</v>
          </cell>
          <cell r="I108">
            <v>12724470</v>
          </cell>
          <cell r="J108" t="str">
            <v>TS.4.14</v>
          </cell>
        </row>
        <row r="109">
          <cell r="B109" t="str">
            <v>D6 - D11</v>
          </cell>
          <cell r="E109" t="str">
            <v>(Not Applicable)</v>
          </cell>
        </row>
        <row r="110">
          <cell r="B110" t="str">
            <v>E</v>
          </cell>
          <cell r="E110" t="str">
            <v>DRAINAGE CHANNEL and OUTLET WORKS</v>
          </cell>
        </row>
        <row r="111">
          <cell r="B111" t="str">
            <v>E1</v>
          </cell>
          <cell r="E111" t="str">
            <v>PREPARATION WORKS for DRAINAGE WORKS</v>
          </cell>
        </row>
        <row r="112">
          <cell r="B112" t="str">
            <v>E1.1</v>
          </cell>
          <cell r="E112" t="str">
            <v>Coffering and dewatering</v>
          </cell>
          <cell r="F112" t="str">
            <v>ls</v>
          </cell>
          <cell r="G112">
            <v>1</v>
          </cell>
          <cell r="H112">
            <v>16731927</v>
          </cell>
          <cell r="I112">
            <v>16731927</v>
          </cell>
          <cell r="J112" t="str">
            <v>TS.1.04</v>
          </cell>
        </row>
        <row r="113">
          <cell r="B113" t="str">
            <v>E1.2</v>
          </cell>
          <cell r="E113" t="str">
            <v>Clearing and grubbing</v>
          </cell>
          <cell r="F113" t="str">
            <v>m²</v>
          </cell>
          <cell r="G113">
            <v>280</v>
          </cell>
          <cell r="H113">
            <v>4019</v>
          </cell>
          <cell r="I113">
            <v>1125320</v>
          </cell>
          <cell r="J113" t="str">
            <v>TS.2.10</v>
          </cell>
        </row>
        <row r="114">
          <cell r="B114" t="str">
            <v>E2</v>
          </cell>
          <cell r="E114" t="str">
            <v>DRAINAGE OUTLET SL1, PIPE CULVERT with FLAP GATE</v>
          </cell>
        </row>
        <row r="115">
          <cell r="B115" t="str">
            <v>E2.1</v>
          </cell>
          <cell r="E115" t="str">
            <v>Excavation (common)</v>
          </cell>
          <cell r="F115" t="str">
            <v>m³</v>
          </cell>
          <cell r="G115">
            <v>1300</v>
          </cell>
          <cell r="H115">
            <v>6921</v>
          </cell>
          <cell r="I115">
            <v>8997300</v>
          </cell>
          <cell r="J115" t="str">
            <v>TS.2.10</v>
          </cell>
        </row>
        <row r="116">
          <cell r="B116" t="str">
            <v>E2.2</v>
          </cell>
          <cell r="E116" t="str">
            <v>Backfill with selected soil</v>
          </cell>
          <cell r="F116" t="str">
            <v>m³</v>
          </cell>
          <cell r="G116">
            <v>220</v>
          </cell>
          <cell r="H116">
            <v>5530</v>
          </cell>
          <cell r="I116">
            <v>1216600</v>
          </cell>
          <cell r="J116" t="str">
            <v>TS.2.10</v>
          </cell>
        </row>
        <row r="117">
          <cell r="B117" t="str">
            <v>E2.3</v>
          </cell>
          <cell r="E117" t="str">
            <v>Crusher run bedding</v>
          </cell>
          <cell r="F117" t="str">
            <v>m³</v>
          </cell>
          <cell r="G117">
            <v>150</v>
          </cell>
          <cell r="H117">
            <v>128530</v>
          </cell>
          <cell r="I117">
            <v>19279500</v>
          </cell>
          <cell r="J117" t="str">
            <v>TS.4.14</v>
          </cell>
        </row>
        <row r="118">
          <cell r="B118" t="str">
            <v>E2.4</v>
          </cell>
          <cell r="E118" t="str">
            <v>Log pile, dia. 150 mm L = 3.0 m</v>
          </cell>
          <cell r="F118" t="str">
            <v>m</v>
          </cell>
          <cell r="G118">
            <v>220</v>
          </cell>
          <cell r="H118">
            <v>7918</v>
          </cell>
          <cell r="I118">
            <v>1741960</v>
          </cell>
          <cell r="J118" t="str">
            <v>TS.5.07</v>
          </cell>
        </row>
        <row r="119">
          <cell r="B119" t="str">
            <v>E2.5</v>
          </cell>
          <cell r="E119" t="str">
            <v>Wet stone masonry (1:4) for revetment</v>
          </cell>
          <cell r="F119" t="str">
            <v>m³</v>
          </cell>
          <cell r="G119">
            <v>130</v>
          </cell>
          <cell r="H119">
            <v>163909</v>
          </cell>
          <cell r="I119">
            <v>21308170</v>
          </cell>
          <cell r="J119" t="str">
            <v>TS.4.14</v>
          </cell>
        </row>
        <row r="120">
          <cell r="B120" t="str">
            <v>E2.6</v>
          </cell>
          <cell r="E120" t="str">
            <v>Cement mortar plastering</v>
          </cell>
          <cell r="F120" t="str">
            <v>m²</v>
          </cell>
          <cell r="G120">
            <v>510</v>
          </cell>
          <cell r="H120">
            <v>12274</v>
          </cell>
          <cell r="I120">
            <v>6259740</v>
          </cell>
          <cell r="J120" t="str">
            <v>TS.4.14</v>
          </cell>
        </row>
        <row r="121">
          <cell r="B121" t="str">
            <v>E2.7</v>
          </cell>
          <cell r="E121" t="str">
            <v>Weep hole, dia. 50 mm</v>
          </cell>
          <cell r="F121" t="str">
            <v>nos</v>
          </cell>
          <cell r="G121">
            <v>74</v>
          </cell>
          <cell r="H121">
            <v>36874</v>
          </cell>
          <cell r="I121">
            <v>2728676</v>
          </cell>
          <cell r="J121" t="str">
            <v>TS.4.14</v>
          </cell>
        </row>
        <row r="122">
          <cell r="B122" t="str">
            <v>E2.8</v>
          </cell>
          <cell r="E122" t="str">
            <v>Dowel bar, dia. 19 mm L = 600 mm</v>
          </cell>
          <cell r="F122" t="str">
            <v>kg</v>
          </cell>
          <cell r="G122">
            <v>5</v>
          </cell>
          <cell r="H122">
            <v>11285</v>
          </cell>
          <cell r="I122">
            <v>56425</v>
          </cell>
          <cell r="J122" t="str">
            <v>TS.3.24</v>
          </cell>
        </row>
        <row r="123">
          <cell r="B123" t="str">
            <v>E2.9</v>
          </cell>
          <cell r="E123" t="str">
            <v>Water stop, 30 cm</v>
          </cell>
          <cell r="F123" t="str">
            <v>m</v>
          </cell>
          <cell r="G123">
            <v>2</v>
          </cell>
          <cell r="H123">
            <v>128471</v>
          </cell>
          <cell r="I123">
            <v>256942</v>
          </cell>
          <cell r="J123" t="str">
            <v>TS.3.24</v>
          </cell>
        </row>
        <row r="124">
          <cell r="B124" t="str">
            <v>E2.10</v>
          </cell>
          <cell r="E124" t="str">
            <v>Concrete, type C2</v>
          </cell>
          <cell r="F124" t="str">
            <v>m³</v>
          </cell>
          <cell r="G124">
            <v>93</v>
          </cell>
          <cell r="H124">
            <v>314033</v>
          </cell>
          <cell r="I124">
            <v>29205069</v>
          </cell>
          <cell r="J124" t="str">
            <v>TS.3.24</v>
          </cell>
        </row>
        <row r="125">
          <cell r="B125" t="str">
            <v>E2.11</v>
          </cell>
          <cell r="E125" t="str">
            <v>Concrete, type E</v>
          </cell>
          <cell r="F125" t="str">
            <v>m³</v>
          </cell>
          <cell r="G125">
            <v>5</v>
          </cell>
          <cell r="H125">
            <v>315179</v>
          </cell>
          <cell r="I125">
            <v>1575895</v>
          </cell>
          <cell r="J125" t="str">
            <v>TS.3.24</v>
          </cell>
        </row>
        <row r="126">
          <cell r="B126" t="str">
            <v>E2.12</v>
          </cell>
          <cell r="E126" t="str">
            <v>Reinforcing steel bar</v>
          </cell>
          <cell r="F126" t="str">
            <v>kg</v>
          </cell>
          <cell r="G126">
            <v>3600</v>
          </cell>
          <cell r="H126">
            <v>3554</v>
          </cell>
          <cell r="I126">
            <v>12794400</v>
          </cell>
          <cell r="J126" t="str">
            <v>TS.3.24</v>
          </cell>
        </row>
        <row r="127">
          <cell r="B127" t="str">
            <v>E2.13</v>
          </cell>
          <cell r="E127" t="str">
            <v>Formwork FW1</v>
          </cell>
          <cell r="F127" t="str">
            <v>m²</v>
          </cell>
          <cell r="G127">
            <v>420</v>
          </cell>
          <cell r="H127">
            <v>70833</v>
          </cell>
          <cell r="I127">
            <v>29749860</v>
          </cell>
          <cell r="J127" t="str">
            <v>TS.3.24</v>
          </cell>
        </row>
        <row r="128">
          <cell r="B128" t="str">
            <v>E2.14</v>
          </cell>
          <cell r="E128" t="str">
            <v>Formwork FW2</v>
          </cell>
          <cell r="F128" t="str">
            <v>m²</v>
          </cell>
          <cell r="G128">
            <v>1</v>
          </cell>
          <cell r="H128">
            <v>84938</v>
          </cell>
          <cell r="I128">
            <v>84938</v>
          </cell>
          <cell r="J128" t="str">
            <v>TS.3.24</v>
          </cell>
        </row>
        <row r="129">
          <cell r="B129" t="str">
            <v>E2.15</v>
          </cell>
          <cell r="E129" t="str">
            <v>Elastic joint filler, 10 mm thick</v>
          </cell>
          <cell r="F129" t="str">
            <v>m²</v>
          </cell>
          <cell r="G129">
            <v>30</v>
          </cell>
          <cell r="H129">
            <v>107210</v>
          </cell>
          <cell r="I129">
            <v>3216300</v>
          </cell>
          <cell r="J129" t="str">
            <v>TS.3.24</v>
          </cell>
        </row>
        <row r="130">
          <cell r="B130" t="str">
            <v>E2.16</v>
          </cell>
          <cell r="E130" t="str">
            <v>RC pipe, dia. 600 mm</v>
          </cell>
          <cell r="F130" t="str">
            <v>m</v>
          </cell>
          <cell r="G130">
            <v>22</v>
          </cell>
          <cell r="H130">
            <v>242005</v>
          </cell>
          <cell r="I130">
            <v>5324110</v>
          </cell>
          <cell r="J130" t="str">
            <v>TS.12.10</v>
          </cell>
        </row>
        <row r="131">
          <cell r="B131" t="str">
            <v>E2.17</v>
          </cell>
          <cell r="E131" t="str">
            <v>Supply and installation of flap gate, dia. 600 mm</v>
          </cell>
          <cell r="F131" t="str">
            <v>set</v>
          </cell>
          <cell r="G131">
            <v>1</v>
          </cell>
          <cell r="H131">
            <v>20059362</v>
          </cell>
          <cell r="I131">
            <v>20059362</v>
          </cell>
          <cell r="J131" t="str">
            <v>TS.6.09</v>
          </cell>
        </row>
        <row r="132">
          <cell r="B132" t="str">
            <v>E3</v>
          </cell>
          <cell r="E132" t="str">
            <v>DRAINAGE OUTLET SL2, BOX CULVERT with SLUICE GATE</v>
          </cell>
        </row>
        <row r="133">
          <cell r="B133" t="str">
            <v>E3.1</v>
          </cell>
          <cell r="E133" t="str">
            <v>Excavation (common)</v>
          </cell>
          <cell r="F133" t="str">
            <v>m³</v>
          </cell>
          <cell r="G133">
            <v>540</v>
          </cell>
          <cell r="H133">
            <v>6921</v>
          </cell>
          <cell r="I133">
            <v>3737340</v>
          </cell>
          <cell r="J133" t="str">
            <v>TS.2.10</v>
          </cell>
        </row>
        <row r="134">
          <cell r="B134" t="str">
            <v>E3.2</v>
          </cell>
          <cell r="E134" t="str">
            <v>Backfill with selected soil</v>
          </cell>
          <cell r="F134" t="str">
            <v>m³</v>
          </cell>
          <cell r="G134">
            <v>600</v>
          </cell>
          <cell r="H134">
            <v>5530</v>
          </cell>
          <cell r="I134">
            <v>3318000</v>
          </cell>
          <cell r="J134" t="str">
            <v>TS.2.10</v>
          </cell>
        </row>
        <row r="135">
          <cell r="B135" t="str">
            <v>E3.3</v>
          </cell>
          <cell r="E135" t="str">
            <v>Crusher run bedding</v>
          </cell>
          <cell r="F135" t="str">
            <v>m³</v>
          </cell>
          <cell r="G135">
            <v>42</v>
          </cell>
          <cell r="H135">
            <v>128530</v>
          </cell>
          <cell r="I135">
            <v>5398260</v>
          </cell>
          <cell r="J135" t="str">
            <v>TS.4.14</v>
          </cell>
        </row>
        <row r="136">
          <cell r="B136" t="str">
            <v>E3.4</v>
          </cell>
          <cell r="E136" t="str">
            <v>Wet stone masonry (1:4) for revetment</v>
          </cell>
          <cell r="F136" t="str">
            <v>m³</v>
          </cell>
          <cell r="G136">
            <v>100</v>
          </cell>
          <cell r="H136">
            <v>163909</v>
          </cell>
          <cell r="I136">
            <v>16390900</v>
          </cell>
          <cell r="J136" t="str">
            <v>TS.4.14</v>
          </cell>
        </row>
        <row r="137">
          <cell r="B137" t="str">
            <v>E3.5</v>
          </cell>
          <cell r="E137" t="str">
            <v>Cement mortar plastering</v>
          </cell>
          <cell r="F137" t="str">
            <v>m²</v>
          </cell>
          <cell r="G137">
            <v>280</v>
          </cell>
          <cell r="H137">
            <v>12274</v>
          </cell>
          <cell r="I137">
            <v>3436720</v>
          </cell>
          <cell r="J137" t="str">
            <v>TS.4.14</v>
          </cell>
        </row>
        <row r="138">
          <cell r="B138" t="str">
            <v>E3.6</v>
          </cell>
          <cell r="E138" t="str">
            <v>Supply and driving of steel sheet piles, type II</v>
          </cell>
          <cell r="F138" t="str">
            <v>m²</v>
          </cell>
          <cell r="G138">
            <v>19</v>
          </cell>
          <cell r="H138">
            <v>754167</v>
          </cell>
          <cell r="I138">
            <v>14329173</v>
          </cell>
          <cell r="J138" t="str">
            <v>TS.5.07</v>
          </cell>
        </row>
        <row r="139">
          <cell r="B139" t="str">
            <v>E3.7</v>
          </cell>
          <cell r="E139" t="str">
            <v>Log pile dia. 150 mm L = 3.0 m</v>
          </cell>
          <cell r="F139" t="str">
            <v>m</v>
          </cell>
          <cell r="G139">
            <v>100</v>
          </cell>
          <cell r="H139">
            <v>7918</v>
          </cell>
          <cell r="I139">
            <v>791800</v>
          </cell>
          <cell r="J139" t="str">
            <v>TS.5.07</v>
          </cell>
        </row>
        <row r="140">
          <cell r="B140" t="str">
            <v>E3.8</v>
          </cell>
          <cell r="E140" t="str">
            <v>Concrete, type C1</v>
          </cell>
          <cell r="F140" t="str">
            <v>m³</v>
          </cell>
          <cell r="G140">
            <v>130</v>
          </cell>
          <cell r="H140">
            <v>313014</v>
          </cell>
          <cell r="I140">
            <v>40691820</v>
          </cell>
          <cell r="J140" t="str">
            <v>TS.3.24</v>
          </cell>
        </row>
        <row r="141">
          <cell r="B141" t="str">
            <v>E3.9</v>
          </cell>
          <cell r="E141" t="str">
            <v>Concrete, type C2</v>
          </cell>
          <cell r="F141" t="str">
            <v>m³</v>
          </cell>
          <cell r="G141">
            <v>57</v>
          </cell>
          <cell r="H141">
            <v>316295</v>
          </cell>
          <cell r="I141">
            <v>18028815</v>
          </cell>
          <cell r="J141" t="str">
            <v>TS.3.24</v>
          </cell>
        </row>
        <row r="142">
          <cell r="B142" t="str">
            <v>E3.10</v>
          </cell>
          <cell r="E142" t="str">
            <v>Concrete, type E</v>
          </cell>
          <cell r="F142" t="str">
            <v>m³</v>
          </cell>
          <cell r="G142">
            <v>35</v>
          </cell>
          <cell r="H142">
            <v>286632</v>
          </cell>
          <cell r="I142">
            <v>10032120</v>
          </cell>
          <cell r="J142" t="str">
            <v>TS.3.24</v>
          </cell>
        </row>
        <row r="143">
          <cell r="B143" t="str">
            <v>E3.11</v>
          </cell>
          <cell r="E143" t="str">
            <v>Reinforcing steel bar</v>
          </cell>
          <cell r="F143" t="str">
            <v>kg</v>
          </cell>
          <cell r="G143">
            <v>11900</v>
          </cell>
          <cell r="H143">
            <v>3554</v>
          </cell>
          <cell r="I143">
            <v>42292600</v>
          </cell>
          <cell r="J143" t="str">
            <v>TS.3.24</v>
          </cell>
        </row>
        <row r="144">
          <cell r="B144" t="str">
            <v>E3.12</v>
          </cell>
          <cell r="E144" t="str">
            <v>Formwork FW1</v>
          </cell>
          <cell r="F144" t="str">
            <v>m²</v>
          </cell>
          <cell r="G144">
            <v>460</v>
          </cell>
          <cell r="H144">
            <v>70833</v>
          </cell>
          <cell r="I144">
            <v>32583180</v>
          </cell>
          <cell r="J144" t="str">
            <v>TS.3.24</v>
          </cell>
        </row>
        <row r="145">
          <cell r="B145" t="str">
            <v>E3.13</v>
          </cell>
          <cell r="E145" t="str">
            <v>Formwork FW2</v>
          </cell>
          <cell r="F145" t="str">
            <v>m²</v>
          </cell>
          <cell r="G145">
            <v>75</v>
          </cell>
          <cell r="H145">
            <v>84938</v>
          </cell>
          <cell r="I145">
            <v>6370350</v>
          </cell>
          <cell r="J145" t="str">
            <v>TS.3.24</v>
          </cell>
        </row>
        <row r="146">
          <cell r="B146" t="str">
            <v>E3.14</v>
          </cell>
          <cell r="E146" t="str">
            <v>Dowel bar</v>
          </cell>
          <cell r="F146" t="str">
            <v>kg</v>
          </cell>
          <cell r="G146">
            <v>14</v>
          </cell>
          <cell r="H146">
            <v>11285</v>
          </cell>
          <cell r="I146">
            <v>157990</v>
          </cell>
          <cell r="J146" t="str">
            <v>TS.3.24</v>
          </cell>
        </row>
        <row r="147">
          <cell r="B147" t="str">
            <v>E3.15</v>
          </cell>
          <cell r="E147" t="str">
            <v>Elastic joint filler, 10 mm thick</v>
          </cell>
          <cell r="F147" t="str">
            <v>m²</v>
          </cell>
          <cell r="G147">
            <v>2</v>
          </cell>
          <cell r="H147">
            <v>107210</v>
          </cell>
          <cell r="I147">
            <v>214420</v>
          </cell>
          <cell r="J147" t="str">
            <v>TS.3.24</v>
          </cell>
        </row>
        <row r="148">
          <cell r="B148" t="str">
            <v>E3.16</v>
          </cell>
          <cell r="E148" t="str">
            <v>Water stop, 30 cm wide</v>
          </cell>
          <cell r="F148" t="str">
            <v>m</v>
          </cell>
          <cell r="G148">
            <v>6</v>
          </cell>
          <cell r="H148">
            <v>128471</v>
          </cell>
          <cell r="I148">
            <v>770826</v>
          </cell>
          <cell r="J148" t="str">
            <v>TS.3.24</v>
          </cell>
        </row>
        <row r="149">
          <cell r="B149" t="str">
            <v>E3.17</v>
          </cell>
          <cell r="E149" t="str">
            <v>Handrail, galvanized steel pipe</v>
          </cell>
          <cell r="F149" t="str">
            <v>kg</v>
          </cell>
          <cell r="G149">
            <v>300</v>
          </cell>
          <cell r="H149">
            <v>8709</v>
          </cell>
          <cell r="I149">
            <v>2612700</v>
          </cell>
          <cell r="J149" t="str">
            <v>TS.6.09</v>
          </cell>
        </row>
        <row r="150">
          <cell r="B150" t="str">
            <v>E3.18</v>
          </cell>
          <cell r="E150" t="str">
            <v>Galvanized steel ladder</v>
          </cell>
          <cell r="F150" t="str">
            <v>kg</v>
          </cell>
          <cell r="G150">
            <v>31</v>
          </cell>
          <cell r="H150">
            <v>5473</v>
          </cell>
          <cell r="I150">
            <v>169663</v>
          </cell>
          <cell r="J150" t="str">
            <v>TS.6.09</v>
          </cell>
        </row>
        <row r="151">
          <cell r="B151" t="str">
            <v>E3.19</v>
          </cell>
          <cell r="E151" t="str">
            <v>Supply and installation of steel slide gates (H=1.5 m, B=2.0 m)x2</v>
          </cell>
          <cell r="F151" t="str">
            <v>ls</v>
          </cell>
          <cell r="G151">
            <v>1</v>
          </cell>
          <cell r="H151">
            <v>27852586</v>
          </cell>
          <cell r="I151">
            <v>27852586</v>
          </cell>
          <cell r="J151" t="str">
            <v>TS.9.09</v>
          </cell>
        </row>
        <row r="153">
          <cell r="B153" t="str">
            <v>E4 - E20</v>
          </cell>
          <cell r="E153" t="str">
            <v>(Not Applicable)</v>
          </cell>
        </row>
        <row r="155">
          <cell r="B155" t="str">
            <v>E21</v>
          </cell>
          <cell r="E155" t="str">
            <v>DRAINAGE DITCH CONNECTING to DRAINAGE OUTLETS</v>
          </cell>
        </row>
        <row r="156">
          <cell r="B156" t="str">
            <v>E21.1</v>
          </cell>
          <cell r="E156" t="str">
            <v>Excavation (common)</v>
          </cell>
          <cell r="F156" t="str">
            <v>m³</v>
          </cell>
          <cell r="G156">
            <v>600</v>
          </cell>
          <cell r="H156">
            <v>6921</v>
          </cell>
          <cell r="I156">
            <v>4152600</v>
          </cell>
          <cell r="J156" t="str">
            <v>TS.2.10</v>
          </cell>
        </row>
        <row r="157">
          <cell r="B157" t="str">
            <v>E21.2</v>
          </cell>
          <cell r="E157" t="str">
            <v>Crusher run bedding</v>
          </cell>
          <cell r="F157" t="str">
            <v>m³</v>
          </cell>
          <cell r="G157">
            <v>41</v>
          </cell>
          <cell r="H157">
            <v>128530</v>
          </cell>
          <cell r="I157">
            <v>5269730</v>
          </cell>
          <cell r="J157" t="str">
            <v>TS.4.14</v>
          </cell>
        </row>
        <row r="158">
          <cell r="B158" t="str">
            <v>E21.3</v>
          </cell>
          <cell r="E158" t="str">
            <v>Wet stone masonry (1:4) for revetment</v>
          </cell>
          <cell r="F158" t="str">
            <v>m³</v>
          </cell>
          <cell r="G158">
            <v>41</v>
          </cell>
          <cell r="H158">
            <v>163909</v>
          </cell>
          <cell r="I158">
            <v>6720269</v>
          </cell>
          <cell r="J158" t="str">
            <v>TS.4.14</v>
          </cell>
        </row>
        <row r="159">
          <cell r="B159" t="str">
            <v>E21.4</v>
          </cell>
          <cell r="E159" t="str">
            <v>Cement mortar plastering</v>
          </cell>
          <cell r="F159" t="str">
            <v>m²</v>
          </cell>
          <cell r="G159">
            <v>160</v>
          </cell>
          <cell r="H159">
            <v>12274</v>
          </cell>
          <cell r="I159">
            <v>1963840</v>
          </cell>
          <cell r="J159" t="str">
            <v>TS.4.14</v>
          </cell>
        </row>
        <row r="160">
          <cell r="B160" t="str">
            <v>E21.5</v>
          </cell>
          <cell r="E160" t="str">
            <v>Concrete, type C2</v>
          </cell>
          <cell r="F160" t="str">
            <v>m³</v>
          </cell>
          <cell r="G160">
            <v>45</v>
          </cell>
          <cell r="H160">
            <v>317853</v>
          </cell>
          <cell r="I160">
            <v>14303385</v>
          </cell>
          <cell r="J160" t="str">
            <v>TS.3.14</v>
          </cell>
        </row>
        <row r="161">
          <cell r="B161" t="str">
            <v>E21.6</v>
          </cell>
          <cell r="E161" t="str">
            <v>Concrete, type E</v>
          </cell>
          <cell r="F161" t="str">
            <v>m³</v>
          </cell>
          <cell r="G161">
            <v>5</v>
          </cell>
          <cell r="H161">
            <v>315179</v>
          </cell>
          <cell r="I161">
            <v>1575895</v>
          </cell>
          <cell r="J161" t="str">
            <v>TS.3.24</v>
          </cell>
        </row>
        <row r="162">
          <cell r="B162" t="str">
            <v>E21.7</v>
          </cell>
          <cell r="E162" t="str">
            <v>Reinforcing steel bar</v>
          </cell>
          <cell r="F162" t="str">
            <v>kg</v>
          </cell>
          <cell r="G162">
            <v>870</v>
          </cell>
          <cell r="H162">
            <v>3554</v>
          </cell>
          <cell r="I162">
            <v>3091980</v>
          </cell>
          <cell r="J162" t="str">
            <v>TS.2.34</v>
          </cell>
        </row>
        <row r="163">
          <cell r="B163" t="str">
            <v>E21.8</v>
          </cell>
          <cell r="E163" t="str">
            <v>Formwork FW1</v>
          </cell>
          <cell r="F163" t="str">
            <v>m²</v>
          </cell>
          <cell r="G163">
            <v>80</v>
          </cell>
          <cell r="H163">
            <v>70833</v>
          </cell>
          <cell r="I163">
            <v>5666640</v>
          </cell>
          <cell r="J163" t="str">
            <v>TS.2.34</v>
          </cell>
        </row>
        <row r="165">
          <cell r="B165" t="str">
            <v>E22 - E24</v>
          </cell>
          <cell r="E165" t="str">
            <v>(Not Applicable)</v>
          </cell>
        </row>
        <row r="167">
          <cell r="B167" t="str">
            <v>F</v>
          </cell>
          <cell r="E167" t="str">
            <v>BANDAR SIDORAS INTAKE WEIR and IRRIGATON FACILITIES</v>
          </cell>
        </row>
        <row r="168">
          <cell r="B168" t="str">
            <v>F1</v>
          </cell>
          <cell r="E168" t="str">
            <v>PREPARATION WORKS</v>
          </cell>
        </row>
        <row r="169">
          <cell r="B169" t="str">
            <v>F1.1</v>
          </cell>
          <cell r="E169" t="str">
            <v>Clearing and grubbing</v>
          </cell>
          <cell r="F169" t="str">
            <v>m²</v>
          </cell>
          <cell r="G169">
            <v>4290</v>
          </cell>
          <cell r="H169">
            <v>4019</v>
          </cell>
          <cell r="I169">
            <v>17241510</v>
          </cell>
          <cell r="J169" t="str">
            <v>TS.2.10</v>
          </cell>
        </row>
        <row r="170">
          <cell r="B170" t="str">
            <v>F1.2</v>
          </cell>
          <cell r="E170" t="str">
            <v>Coffering and dewatering</v>
          </cell>
          <cell r="F170" t="str">
            <v>ls</v>
          </cell>
          <cell r="G170">
            <v>1</v>
          </cell>
          <cell r="H170">
            <v>71238786</v>
          </cell>
          <cell r="I170">
            <v>71238786</v>
          </cell>
          <cell r="J170" t="str">
            <v>TS.1.04</v>
          </cell>
        </row>
        <row r="171">
          <cell r="B171" t="str">
            <v>F1.3</v>
          </cell>
          <cell r="E171" t="str">
            <v>Demolition and removal of existing structure</v>
          </cell>
          <cell r="F171" t="str">
            <v>ls</v>
          </cell>
          <cell r="G171">
            <v>1</v>
          </cell>
          <cell r="H171">
            <v>19926238</v>
          </cell>
          <cell r="I171">
            <v>19926238</v>
          </cell>
          <cell r="J171" t="str">
            <v>TS.2.10</v>
          </cell>
        </row>
        <row r="172">
          <cell r="B172" t="str">
            <v>F2</v>
          </cell>
          <cell r="E172" t="str">
            <v>INFLATABLE RUBBER-MADE DAM</v>
          </cell>
        </row>
        <row r="173">
          <cell r="E173" t="str">
            <v>EARTH WORKS</v>
          </cell>
        </row>
        <row r="174">
          <cell r="B174" t="str">
            <v>F2.1</v>
          </cell>
          <cell r="E174" t="str">
            <v>Excavation (common)</v>
          </cell>
          <cell r="F174" t="str">
            <v>m³</v>
          </cell>
          <cell r="G174">
            <v>6511</v>
          </cell>
          <cell r="H174">
            <v>6921</v>
          </cell>
          <cell r="I174">
            <v>45062631</v>
          </cell>
          <cell r="J174" t="str">
            <v>TS.2.10</v>
          </cell>
        </row>
        <row r="175">
          <cell r="B175" t="str">
            <v>F2.2</v>
          </cell>
          <cell r="E175" t="str">
            <v>Backfill with selected soil</v>
          </cell>
          <cell r="F175" t="str">
            <v>m³</v>
          </cell>
          <cell r="G175">
            <v>454</v>
          </cell>
          <cell r="H175">
            <v>5530</v>
          </cell>
          <cell r="I175">
            <v>2510620</v>
          </cell>
          <cell r="J175" t="str">
            <v>TS.2.10</v>
          </cell>
        </row>
        <row r="176">
          <cell r="E176" t="str">
            <v>CONCRETE WORKS</v>
          </cell>
        </row>
        <row r="177">
          <cell r="B177" t="str">
            <v>F2.3</v>
          </cell>
          <cell r="E177" t="str">
            <v>Concrete, type C1 for main structure</v>
          </cell>
          <cell r="F177" t="str">
            <v>m³</v>
          </cell>
          <cell r="G177">
            <v>2240</v>
          </cell>
          <cell r="H177">
            <v>318832</v>
          </cell>
          <cell r="I177">
            <v>714183680</v>
          </cell>
          <cell r="J177" t="str">
            <v>TS.3.24</v>
          </cell>
        </row>
        <row r="178">
          <cell r="B178" t="str">
            <v>F2.4</v>
          </cell>
          <cell r="E178" t="str">
            <v>Concrete, type E</v>
          </cell>
          <cell r="F178" t="str">
            <v>m³</v>
          </cell>
          <cell r="G178">
            <v>150</v>
          </cell>
          <cell r="H178">
            <v>282984</v>
          </cell>
          <cell r="I178">
            <v>42447600</v>
          </cell>
          <cell r="J178" t="str">
            <v>TS.3.24</v>
          </cell>
        </row>
        <row r="179">
          <cell r="B179" t="str">
            <v>F2.5</v>
          </cell>
          <cell r="E179" t="str">
            <v>Form work FW1</v>
          </cell>
          <cell r="F179" t="str">
            <v>m²</v>
          </cell>
          <cell r="G179">
            <v>1060</v>
          </cell>
          <cell r="H179">
            <v>70833</v>
          </cell>
          <cell r="I179">
            <v>75082980</v>
          </cell>
          <cell r="J179" t="str">
            <v>TS.3.24</v>
          </cell>
        </row>
        <row r="180">
          <cell r="B180" t="str">
            <v>F2.6</v>
          </cell>
          <cell r="E180" t="str">
            <v>Form work FW2</v>
          </cell>
          <cell r="F180" t="str">
            <v>m²</v>
          </cell>
          <cell r="G180">
            <v>490</v>
          </cell>
          <cell r="H180">
            <v>84938</v>
          </cell>
          <cell r="I180">
            <v>41619620</v>
          </cell>
          <cell r="J180" t="str">
            <v>TS.3.24</v>
          </cell>
        </row>
        <row r="181">
          <cell r="B181" t="str">
            <v>F2.7</v>
          </cell>
          <cell r="E181" t="str">
            <v>Reinforcing steel bar</v>
          </cell>
          <cell r="F181" t="str">
            <v>kg</v>
          </cell>
          <cell r="G181">
            <v>94900</v>
          </cell>
          <cell r="H181">
            <v>3554</v>
          </cell>
          <cell r="I181">
            <v>337274600</v>
          </cell>
          <cell r="J181" t="str">
            <v>TS.3.24</v>
          </cell>
        </row>
        <row r="182">
          <cell r="B182" t="str">
            <v>F2.8</v>
          </cell>
          <cell r="E182" t="str">
            <v>Elastic joint filler, 10 mm thick</v>
          </cell>
          <cell r="F182" t="str">
            <v>m²</v>
          </cell>
          <cell r="G182">
            <v>110</v>
          </cell>
          <cell r="H182">
            <v>107210</v>
          </cell>
          <cell r="I182">
            <v>11793100</v>
          </cell>
          <cell r="J182" t="str">
            <v>TS.3.24</v>
          </cell>
        </row>
        <row r="183">
          <cell r="B183" t="str">
            <v>F2.9</v>
          </cell>
          <cell r="E183" t="str">
            <v>Water stop, 30 cm wide</v>
          </cell>
          <cell r="F183" t="str">
            <v>m</v>
          </cell>
          <cell r="G183">
            <v>110</v>
          </cell>
          <cell r="H183">
            <v>128471</v>
          </cell>
          <cell r="I183">
            <v>14131810</v>
          </cell>
          <cell r="J183" t="str">
            <v>TS.3.24</v>
          </cell>
        </row>
        <row r="184">
          <cell r="B184" t="str">
            <v>F2.10</v>
          </cell>
          <cell r="E184" t="str">
            <v>Dowel bars, dia. 19 mm, 1.0 m long</v>
          </cell>
          <cell r="F184" t="str">
            <v>kg</v>
          </cell>
          <cell r="G184">
            <v>770</v>
          </cell>
          <cell r="H184">
            <v>11285</v>
          </cell>
          <cell r="I184">
            <v>8689450</v>
          </cell>
          <cell r="J184" t="str">
            <v>TS.3.24</v>
          </cell>
        </row>
        <row r="185">
          <cell r="E185" t="str">
            <v>PILE WORKS</v>
          </cell>
        </row>
        <row r="186">
          <cell r="B186" t="str">
            <v>F2.11</v>
          </cell>
          <cell r="E186" t="str">
            <v>PC pile for test pile, dia.400 mm, type AB</v>
          </cell>
          <cell r="F186" t="str">
            <v>m</v>
          </cell>
          <cell r="G186">
            <v>12</v>
          </cell>
          <cell r="H186">
            <v>200180</v>
          </cell>
          <cell r="I186">
            <v>2402160</v>
          </cell>
          <cell r="J186" t="str">
            <v>TS.5.07</v>
          </cell>
        </row>
        <row r="187">
          <cell r="B187" t="str">
            <v>F2.12</v>
          </cell>
          <cell r="E187" t="str">
            <v>Supply and driving of PC piles, dia. 400 mm, type AB</v>
          </cell>
          <cell r="F187" t="str">
            <v>m</v>
          </cell>
          <cell r="G187">
            <v>227</v>
          </cell>
          <cell r="H187">
            <v>200180</v>
          </cell>
          <cell r="I187">
            <v>45440860</v>
          </cell>
          <cell r="J187" t="str">
            <v>TS.5.07</v>
          </cell>
        </row>
        <row r="188">
          <cell r="B188" t="str">
            <v>F2.13</v>
          </cell>
          <cell r="E188" t="str">
            <v>PC pile for test pile, dia.600 mm, type AB</v>
          </cell>
          <cell r="F188" t="str">
            <v>m</v>
          </cell>
          <cell r="G188">
            <v>12</v>
          </cell>
          <cell r="H188">
            <v>361803</v>
          </cell>
          <cell r="I188">
            <v>4341636</v>
          </cell>
          <cell r="J188" t="str">
            <v>TS.5.07</v>
          </cell>
        </row>
        <row r="189">
          <cell r="B189" t="str">
            <v>F2.14</v>
          </cell>
          <cell r="E189" t="str">
            <v>Supply and driving of PC piles, dia. 600 mm, type AB</v>
          </cell>
          <cell r="F189" t="str">
            <v>m</v>
          </cell>
          <cell r="G189">
            <v>1500</v>
          </cell>
          <cell r="H189">
            <v>361803</v>
          </cell>
          <cell r="I189">
            <v>542704500</v>
          </cell>
          <cell r="J189" t="str">
            <v>TS.5.07</v>
          </cell>
        </row>
        <row r="190">
          <cell r="B190" t="str">
            <v>F2.15</v>
          </cell>
          <cell r="E190" t="str">
            <v>Supply and driving of steel sheet piles, type II</v>
          </cell>
          <cell r="F190" t="str">
            <v>m²</v>
          </cell>
          <cell r="G190">
            <v>300</v>
          </cell>
          <cell r="H190">
            <v>759138</v>
          </cell>
          <cell r="I190">
            <v>227741400</v>
          </cell>
          <cell r="J190" t="str">
            <v>TS.5.07</v>
          </cell>
        </row>
        <row r="191">
          <cell r="E191" t="str">
            <v>INFLATABLE RUBBER- MADE DAM</v>
          </cell>
        </row>
        <row r="192">
          <cell r="B192" t="str">
            <v>F2.16</v>
          </cell>
          <cell r="E192" t="str">
            <v>Inflatable rubber-made Dam including anchoring materials, operating</v>
          </cell>
          <cell r="F192" t="str">
            <v>ls</v>
          </cell>
          <cell r="G192">
            <v>1</v>
          </cell>
          <cell r="H192">
            <v>3144852113</v>
          </cell>
          <cell r="I192">
            <v>3144852113</v>
          </cell>
          <cell r="J192" t="str">
            <v>TS.10.13</v>
          </cell>
        </row>
        <row r="193">
          <cell r="E193" t="str">
            <v>and electric equipment</v>
          </cell>
        </row>
        <row r="194">
          <cell r="B194" t="str">
            <v>F3</v>
          </cell>
          <cell r="E194" t="str">
            <v>IRRIGATION INTAKE FACILITIES</v>
          </cell>
        </row>
        <row r="195">
          <cell r="B195">
            <v>0</v>
          </cell>
          <cell r="E195" t="str">
            <v>EARTH WORKS</v>
          </cell>
        </row>
        <row r="196">
          <cell r="B196" t="str">
            <v>F3.1</v>
          </cell>
          <cell r="E196" t="str">
            <v>Excavation (common)</v>
          </cell>
          <cell r="F196" t="str">
            <v>m³</v>
          </cell>
          <cell r="G196">
            <v>5980</v>
          </cell>
          <cell r="H196">
            <v>6921</v>
          </cell>
          <cell r="I196">
            <v>41387580</v>
          </cell>
          <cell r="J196" t="str">
            <v>TS.2.10</v>
          </cell>
        </row>
        <row r="197">
          <cell r="B197" t="str">
            <v>F3.2</v>
          </cell>
          <cell r="E197" t="str">
            <v>Backfill with selected soil</v>
          </cell>
          <cell r="F197" t="str">
            <v>m³</v>
          </cell>
          <cell r="G197">
            <v>16800</v>
          </cell>
          <cell r="H197">
            <v>5530</v>
          </cell>
          <cell r="I197">
            <v>92904000</v>
          </cell>
          <cell r="J197" t="str">
            <v>TS.2.10</v>
          </cell>
        </row>
        <row r="198">
          <cell r="E198" t="str">
            <v>CONCRETE WORKS</v>
          </cell>
        </row>
        <row r="199">
          <cell r="B199" t="str">
            <v>F3.3</v>
          </cell>
          <cell r="E199" t="str">
            <v>Concrete, type C1 for irrigation intake facilities and bridge pier</v>
          </cell>
          <cell r="F199" t="str">
            <v>m³</v>
          </cell>
          <cell r="G199">
            <v>970</v>
          </cell>
          <cell r="H199">
            <v>310795</v>
          </cell>
          <cell r="I199">
            <v>301471150</v>
          </cell>
          <cell r="J199" t="str">
            <v>TS.3.24</v>
          </cell>
        </row>
        <row r="200">
          <cell r="B200" t="str">
            <v>F3.4</v>
          </cell>
          <cell r="E200" t="str">
            <v>Concrete, type C2 for block-out concrete for gate post</v>
          </cell>
          <cell r="F200" t="str">
            <v>m³</v>
          </cell>
          <cell r="G200">
            <v>7</v>
          </cell>
          <cell r="H200">
            <v>358031</v>
          </cell>
          <cell r="I200">
            <v>2506217</v>
          </cell>
          <cell r="J200" t="str">
            <v>TS.3.24</v>
          </cell>
        </row>
        <row r="201">
          <cell r="B201" t="str">
            <v>F3.5</v>
          </cell>
          <cell r="E201" t="str">
            <v>Concrete, type E</v>
          </cell>
          <cell r="F201" t="str">
            <v>m³</v>
          </cell>
          <cell r="G201">
            <v>59</v>
          </cell>
          <cell r="H201">
            <v>284696</v>
          </cell>
          <cell r="I201">
            <v>16797064</v>
          </cell>
          <cell r="J201" t="str">
            <v>TS.3.24</v>
          </cell>
        </row>
        <row r="202">
          <cell r="B202" t="str">
            <v>F3.6</v>
          </cell>
          <cell r="E202" t="str">
            <v>Form work FW1</v>
          </cell>
          <cell r="F202" t="str">
            <v>m²</v>
          </cell>
          <cell r="G202">
            <v>1790</v>
          </cell>
          <cell r="H202">
            <v>70833</v>
          </cell>
          <cell r="I202">
            <v>126791070</v>
          </cell>
          <cell r="J202" t="str">
            <v>TS.3.24</v>
          </cell>
        </row>
        <row r="203">
          <cell r="B203" t="str">
            <v>F3.7</v>
          </cell>
          <cell r="E203" t="str">
            <v>Form work FW2</v>
          </cell>
          <cell r="F203" t="str">
            <v>m²</v>
          </cell>
          <cell r="G203">
            <v>340</v>
          </cell>
          <cell r="H203">
            <v>84938</v>
          </cell>
          <cell r="I203">
            <v>28878920</v>
          </cell>
          <cell r="J203" t="str">
            <v>TS.3.24</v>
          </cell>
        </row>
        <row r="204">
          <cell r="B204" t="str">
            <v>F3.8</v>
          </cell>
          <cell r="E204" t="str">
            <v>Reinforcing steel bar</v>
          </cell>
          <cell r="F204" t="str">
            <v>kg</v>
          </cell>
          <cell r="G204">
            <v>62700</v>
          </cell>
          <cell r="H204">
            <v>3554</v>
          </cell>
          <cell r="I204">
            <v>222835800</v>
          </cell>
          <cell r="J204" t="str">
            <v>TS.3.24</v>
          </cell>
        </row>
        <row r="205">
          <cell r="B205" t="str">
            <v>F3.9</v>
          </cell>
          <cell r="E205" t="str">
            <v>Elastic joint filler, 10 mm thick</v>
          </cell>
          <cell r="F205" t="str">
            <v>m²</v>
          </cell>
          <cell r="G205">
            <v>92</v>
          </cell>
          <cell r="H205">
            <v>107210</v>
          </cell>
          <cell r="I205">
            <v>9863320</v>
          </cell>
          <cell r="J205" t="str">
            <v>TS.3.24</v>
          </cell>
        </row>
        <row r="206">
          <cell r="B206" t="str">
            <v>F3.10</v>
          </cell>
          <cell r="E206" t="str">
            <v>Water stop, 30 cm wide</v>
          </cell>
          <cell r="F206" t="str">
            <v>m</v>
          </cell>
          <cell r="G206">
            <v>110</v>
          </cell>
          <cell r="H206">
            <v>128471</v>
          </cell>
          <cell r="I206">
            <v>14131810</v>
          </cell>
          <cell r="J206" t="str">
            <v>TS.3.24</v>
          </cell>
        </row>
        <row r="207">
          <cell r="B207" t="str">
            <v>F3.11</v>
          </cell>
          <cell r="E207" t="str">
            <v>Dowel bars, dia. 19 mm, 1.0 m long</v>
          </cell>
          <cell r="F207" t="str">
            <v>kg</v>
          </cell>
          <cell r="G207">
            <v>470</v>
          </cell>
          <cell r="H207">
            <v>11285</v>
          </cell>
          <cell r="I207">
            <v>5303950</v>
          </cell>
          <cell r="J207" t="str">
            <v>TS.3.24</v>
          </cell>
        </row>
        <row r="208">
          <cell r="E208" t="str">
            <v>PILE WORKS</v>
          </cell>
        </row>
        <row r="209">
          <cell r="B209" t="str">
            <v>F3.12</v>
          </cell>
          <cell r="E209" t="str">
            <v>Supply and driving of PC piles, dia. 600 mm, type AB</v>
          </cell>
          <cell r="F209" t="str">
            <v>m</v>
          </cell>
          <cell r="G209">
            <v>441</v>
          </cell>
          <cell r="H209">
            <v>361803</v>
          </cell>
          <cell r="I209">
            <v>159555123</v>
          </cell>
          <cell r="J209" t="str">
            <v>TS.5.07</v>
          </cell>
        </row>
        <row r="210">
          <cell r="B210" t="str">
            <v>F3.13</v>
          </cell>
          <cell r="E210" t="str">
            <v>Supply and driving of steel sheet piles, type II</v>
          </cell>
          <cell r="F210" t="str">
            <v>m²</v>
          </cell>
          <cell r="G210">
            <v>172</v>
          </cell>
          <cell r="H210">
            <v>754167</v>
          </cell>
          <cell r="I210">
            <v>129716724</v>
          </cell>
          <cell r="J210" t="str">
            <v>TS.5.07</v>
          </cell>
        </row>
        <row r="211">
          <cell r="B211" t="str">
            <v>F3.14</v>
          </cell>
          <cell r="E211" t="str">
            <v>Log pile</v>
          </cell>
          <cell r="F211" t="str">
            <v>m</v>
          </cell>
          <cell r="G211">
            <v>381</v>
          </cell>
          <cell r="H211">
            <v>7918</v>
          </cell>
          <cell r="I211">
            <v>3016758</v>
          </cell>
          <cell r="J211" t="str">
            <v>TS.5.07</v>
          </cell>
        </row>
        <row r="212">
          <cell r="E212" t="str">
            <v>CONTROL GATES</v>
          </cell>
        </row>
        <row r="213">
          <cell r="B213" t="str">
            <v>F3.15</v>
          </cell>
          <cell r="E213" t="str">
            <v>Supply and installation of steel slide gate (H=1.0 m, B=1.25 m x 2)</v>
          </cell>
          <cell r="F213" t="str">
            <v>ls</v>
          </cell>
          <cell r="G213">
            <v>1</v>
          </cell>
          <cell r="H213">
            <v>19711400</v>
          </cell>
          <cell r="I213">
            <v>19711400</v>
          </cell>
          <cell r="J213" t="str">
            <v>TS.9.09</v>
          </cell>
        </row>
        <row r="214">
          <cell r="B214" t="str">
            <v>F3.16</v>
          </cell>
          <cell r="E214" t="str">
            <v>Supply and installation of steel slide gate (H=1.0 m, B=1.0 m x 2)</v>
          </cell>
          <cell r="F214" t="str">
            <v>ls</v>
          </cell>
          <cell r="G214">
            <v>1</v>
          </cell>
          <cell r="H214">
            <v>18266872</v>
          </cell>
          <cell r="I214">
            <v>18266872</v>
          </cell>
          <cell r="J214" t="str">
            <v>TS.9.09</v>
          </cell>
        </row>
        <row r="215">
          <cell r="E215" t="str">
            <v>IRRIGATION CHANNEL LINING</v>
          </cell>
        </row>
        <row r="216">
          <cell r="B216" t="str">
            <v>F3.17</v>
          </cell>
          <cell r="E216" t="str">
            <v>Wet stone masonry (1:4) for revetment</v>
          </cell>
          <cell r="F216" t="str">
            <v>m³</v>
          </cell>
          <cell r="G216">
            <v>454</v>
          </cell>
          <cell r="H216">
            <v>163909</v>
          </cell>
          <cell r="I216">
            <v>74414686</v>
          </cell>
          <cell r="J216" t="str">
            <v>TS.4.14</v>
          </cell>
        </row>
        <row r="217">
          <cell r="B217" t="str">
            <v>F3.18</v>
          </cell>
          <cell r="E217" t="str">
            <v>Crusher run bedding</v>
          </cell>
          <cell r="F217" t="str">
            <v>m³</v>
          </cell>
          <cell r="G217">
            <v>440</v>
          </cell>
          <cell r="H217">
            <v>128530</v>
          </cell>
          <cell r="I217">
            <v>56553200</v>
          </cell>
          <cell r="J217" t="str">
            <v>TS.4.14</v>
          </cell>
        </row>
        <row r="218">
          <cell r="B218" t="str">
            <v>F3.19</v>
          </cell>
          <cell r="E218" t="str">
            <v>Concrete, type C1 for base concrete</v>
          </cell>
          <cell r="F218" t="str">
            <v>m³</v>
          </cell>
          <cell r="G218">
            <v>8</v>
          </cell>
          <cell r="H218">
            <v>352083</v>
          </cell>
          <cell r="I218">
            <v>2816664</v>
          </cell>
          <cell r="J218" t="str">
            <v>TS.3.24</v>
          </cell>
        </row>
        <row r="219">
          <cell r="B219" t="str">
            <v>F3.20</v>
          </cell>
          <cell r="E219" t="str">
            <v>Concrete, type C2 for top concrete and channel bed lining</v>
          </cell>
          <cell r="F219" t="str">
            <v>m³</v>
          </cell>
          <cell r="G219">
            <v>200</v>
          </cell>
          <cell r="H219">
            <v>312117</v>
          </cell>
          <cell r="I219">
            <v>62423400</v>
          </cell>
          <cell r="J219" t="str">
            <v>TS.3.24</v>
          </cell>
        </row>
        <row r="220">
          <cell r="B220" t="str">
            <v>F3.21</v>
          </cell>
          <cell r="E220" t="str">
            <v>Cement mortar plastering</v>
          </cell>
          <cell r="F220" t="str">
            <v>m²</v>
          </cell>
          <cell r="G220">
            <v>1700</v>
          </cell>
          <cell r="H220">
            <v>12274</v>
          </cell>
          <cell r="I220">
            <v>20865800</v>
          </cell>
          <cell r="J220" t="str">
            <v>TS.4.14</v>
          </cell>
        </row>
        <row r="221">
          <cell r="B221" t="str">
            <v>F3.22</v>
          </cell>
          <cell r="E221" t="str">
            <v>Formwork FW1</v>
          </cell>
          <cell r="F221" t="str">
            <v>m²</v>
          </cell>
          <cell r="G221">
            <v>860</v>
          </cell>
          <cell r="H221">
            <v>70833</v>
          </cell>
          <cell r="I221">
            <v>60916380</v>
          </cell>
          <cell r="J221" t="str">
            <v>TS.3.24</v>
          </cell>
        </row>
        <row r="222">
          <cell r="B222" t="str">
            <v>F3.23</v>
          </cell>
          <cell r="E222" t="str">
            <v>Reinforcing steel bar</v>
          </cell>
          <cell r="F222" t="str">
            <v>kg</v>
          </cell>
          <cell r="G222">
            <v>4620</v>
          </cell>
          <cell r="H222">
            <v>3554</v>
          </cell>
          <cell r="I222">
            <v>16419480</v>
          </cell>
          <cell r="J222" t="str">
            <v>TS.3.24</v>
          </cell>
        </row>
        <row r="223">
          <cell r="B223" t="str">
            <v>F3.24</v>
          </cell>
          <cell r="E223" t="str">
            <v>PVC pipe drain, dia.50 mm (240 nos x 0.4 m)</v>
          </cell>
          <cell r="F223" t="str">
            <v>m</v>
          </cell>
          <cell r="G223">
            <v>100</v>
          </cell>
          <cell r="H223">
            <v>47666</v>
          </cell>
          <cell r="I223">
            <v>4766600</v>
          </cell>
          <cell r="J223" t="str">
            <v>TS.4.05</v>
          </cell>
        </row>
        <row r="224">
          <cell r="B224" t="str">
            <v>F3.25</v>
          </cell>
          <cell r="E224" t="str">
            <v>Elastic joint filler, 10 mm thick</v>
          </cell>
          <cell r="F224" t="str">
            <v>m²</v>
          </cell>
          <cell r="G224">
            <v>100</v>
          </cell>
          <cell r="H224">
            <v>107210</v>
          </cell>
          <cell r="I224">
            <v>10721000</v>
          </cell>
          <cell r="J224" t="str">
            <v>TS.3.24</v>
          </cell>
        </row>
        <row r="225">
          <cell r="B225" t="str">
            <v>F4</v>
          </cell>
          <cell r="E225" t="str">
            <v>CHANNEL PROTECTION WORKS</v>
          </cell>
        </row>
        <row r="226">
          <cell r="B226" t="str">
            <v>F4.1</v>
          </cell>
          <cell r="E226" t="str">
            <v>Excavation (common)</v>
          </cell>
          <cell r="F226" t="str">
            <v>m³</v>
          </cell>
          <cell r="G226">
            <v>200</v>
          </cell>
          <cell r="H226">
            <v>6921</v>
          </cell>
          <cell r="I226">
            <v>1384200</v>
          </cell>
          <cell r="J226" t="str">
            <v>TS.2.10</v>
          </cell>
        </row>
        <row r="227">
          <cell r="B227" t="str">
            <v>F4.2</v>
          </cell>
          <cell r="E227" t="str">
            <v>Concrete blok, crib type, t = 200 mm</v>
          </cell>
          <cell r="F227" t="str">
            <v>nos</v>
          </cell>
          <cell r="G227">
            <v>390</v>
          </cell>
          <cell r="H227">
            <v>133220</v>
          </cell>
          <cell r="I227">
            <v>51955800</v>
          </cell>
          <cell r="J227" t="str">
            <v>TS.4.14</v>
          </cell>
        </row>
        <row r="228">
          <cell r="B228" t="str">
            <v>F4.3</v>
          </cell>
          <cell r="E228" t="str">
            <v>Crusher run bedding</v>
          </cell>
          <cell r="F228" t="str">
            <v>m³</v>
          </cell>
          <cell r="G228">
            <v>39</v>
          </cell>
          <cell r="H228">
            <v>128530</v>
          </cell>
          <cell r="I228">
            <v>5012670</v>
          </cell>
          <cell r="J228" t="str">
            <v>TS.4.14</v>
          </cell>
        </row>
        <row r="229">
          <cell r="B229" t="str">
            <v>F5</v>
          </cell>
          <cell r="E229" t="str">
            <v>MAINTENANCE FACILITIES</v>
          </cell>
        </row>
        <row r="230">
          <cell r="E230" t="str">
            <v>INSPECTION BRIDGE (SUPER STRUCTURE)</v>
          </cell>
        </row>
        <row r="231">
          <cell r="B231" t="str">
            <v>F5.1</v>
          </cell>
          <cell r="E231" t="str">
            <v>Concrete, type C2 for substructures</v>
          </cell>
          <cell r="F231" t="str">
            <v>m³</v>
          </cell>
          <cell r="G231">
            <v>43</v>
          </cell>
          <cell r="H231">
            <v>318197</v>
          </cell>
          <cell r="I231">
            <v>13682471</v>
          </cell>
          <cell r="J231" t="str">
            <v>TS.3.24</v>
          </cell>
        </row>
        <row r="232">
          <cell r="B232" t="str">
            <v>F5.2</v>
          </cell>
          <cell r="E232" t="str">
            <v>Concrete, type E</v>
          </cell>
          <cell r="F232" t="str">
            <v>m³</v>
          </cell>
          <cell r="G232">
            <v>4</v>
          </cell>
          <cell r="H232">
            <v>323505</v>
          </cell>
          <cell r="I232">
            <v>1294020</v>
          </cell>
          <cell r="J232" t="str">
            <v>TS.3.24</v>
          </cell>
        </row>
        <row r="233">
          <cell r="B233" t="str">
            <v>F5.3</v>
          </cell>
          <cell r="E233" t="str">
            <v>Formwork FW1</v>
          </cell>
          <cell r="F233" t="str">
            <v>m²</v>
          </cell>
          <cell r="G233">
            <v>1790</v>
          </cell>
          <cell r="H233">
            <v>70833</v>
          </cell>
          <cell r="I233">
            <v>126791070</v>
          </cell>
          <cell r="J233" t="str">
            <v>TS.3.24</v>
          </cell>
        </row>
        <row r="234">
          <cell r="B234" t="str">
            <v>F5.4</v>
          </cell>
          <cell r="E234" t="str">
            <v>Formwork FW2</v>
          </cell>
          <cell r="F234" t="str">
            <v>m²</v>
          </cell>
          <cell r="G234">
            <v>340</v>
          </cell>
          <cell r="H234">
            <v>84938</v>
          </cell>
          <cell r="I234">
            <v>28878920</v>
          </cell>
          <cell r="J234" t="str">
            <v>TS.3.24</v>
          </cell>
        </row>
        <row r="235">
          <cell r="B235" t="str">
            <v>F5.5</v>
          </cell>
          <cell r="E235" t="str">
            <v>Reinforcing steel bars</v>
          </cell>
          <cell r="F235" t="str">
            <v>kg</v>
          </cell>
          <cell r="G235">
            <v>5390</v>
          </cell>
          <cell r="H235">
            <v>3554</v>
          </cell>
          <cell r="I235">
            <v>19156060</v>
          </cell>
          <cell r="J235" t="str">
            <v>TS.3.24</v>
          </cell>
        </row>
        <row r="236">
          <cell r="B236" t="str">
            <v>F5.6</v>
          </cell>
          <cell r="E236" t="str">
            <v>Steel plate girder</v>
          </cell>
          <cell r="F236" t="str">
            <v>ls</v>
          </cell>
          <cell r="G236">
            <v>1</v>
          </cell>
          <cell r="H236">
            <v>239189979</v>
          </cell>
          <cell r="I236">
            <v>239189979</v>
          </cell>
          <cell r="J236" t="str">
            <v>TS.8.07</v>
          </cell>
        </row>
        <row r="237">
          <cell r="B237" t="str">
            <v>F5.7</v>
          </cell>
          <cell r="E237" t="str">
            <v>Supply and driving of RC piles, 400 mm x 400 mm, L = 15 m</v>
          </cell>
          <cell r="F237" t="str">
            <v>m</v>
          </cell>
          <cell r="G237">
            <v>360</v>
          </cell>
          <cell r="H237">
            <v>192728</v>
          </cell>
          <cell r="I237">
            <v>69382080</v>
          </cell>
          <cell r="J237" t="str">
            <v>TS.5.07</v>
          </cell>
        </row>
        <row r="238">
          <cell r="E238" t="str">
            <v>CONTROL HOUSE</v>
          </cell>
        </row>
        <row r="239">
          <cell r="B239" t="str">
            <v>F5.8</v>
          </cell>
          <cell r="E239" t="str">
            <v>Control house</v>
          </cell>
          <cell r="F239" t="str">
            <v>ls</v>
          </cell>
          <cell r="G239">
            <v>1</v>
          </cell>
          <cell r="H239">
            <v>21215310</v>
          </cell>
          <cell r="I239">
            <v>21215310</v>
          </cell>
          <cell r="J239" t="str">
            <v>TS.10.13</v>
          </cell>
        </row>
        <row r="241">
          <cell r="B241" t="str">
            <v>G1 - G3</v>
          </cell>
          <cell r="E241" t="str">
            <v>(Not Applicable)</v>
          </cell>
        </row>
        <row r="243">
          <cell r="B243" t="str">
            <v>H</v>
          </cell>
          <cell r="E243" t="str">
            <v>BRIDGE WORKS</v>
          </cell>
        </row>
        <row r="244">
          <cell r="B244" t="str">
            <v>H1</v>
          </cell>
          <cell r="E244" t="str">
            <v>PREPARATION WORKS</v>
          </cell>
        </row>
        <row r="245">
          <cell r="B245" t="str">
            <v>H1-1</v>
          </cell>
          <cell r="E245" t="str">
            <v>Coffering and dewatering</v>
          </cell>
          <cell r="F245" t="str">
            <v>ls</v>
          </cell>
          <cell r="G245">
            <v>1</v>
          </cell>
          <cell r="H245">
            <v>101635586</v>
          </cell>
          <cell r="I245">
            <v>101635586</v>
          </cell>
          <cell r="J245" t="str">
            <v>TS.1.04</v>
          </cell>
        </row>
        <row r="246">
          <cell r="B246" t="str">
            <v>H1-2</v>
          </cell>
          <cell r="E246" t="str">
            <v>Clearing and grubbing</v>
          </cell>
          <cell r="F246" t="str">
            <v>m²</v>
          </cell>
          <cell r="G246">
            <v>3030</v>
          </cell>
          <cell r="H246">
            <v>4019</v>
          </cell>
          <cell r="I246">
            <v>12177570</v>
          </cell>
          <cell r="J246" t="str">
            <v>TS.2.10</v>
          </cell>
        </row>
        <row r="247">
          <cell r="B247" t="str">
            <v>H2</v>
          </cell>
          <cell r="E247" t="str">
            <v>TITI BESI BRIDGE (P1)</v>
          </cell>
        </row>
        <row r="248">
          <cell r="B248" t="str">
            <v>H2.1</v>
          </cell>
          <cell r="E248" t="str">
            <v>EARTH WORKS</v>
          </cell>
        </row>
        <row r="249">
          <cell r="B249" t="str">
            <v>H2-1.1</v>
          </cell>
          <cell r="E249" t="str">
            <v>Excavation (common)</v>
          </cell>
          <cell r="F249" t="str">
            <v>m³</v>
          </cell>
          <cell r="G249">
            <v>1810</v>
          </cell>
          <cell r="H249">
            <v>6921</v>
          </cell>
          <cell r="I249">
            <v>12527010</v>
          </cell>
          <cell r="J249" t="str">
            <v>TS.2.10</v>
          </cell>
        </row>
        <row r="250">
          <cell r="B250" t="str">
            <v>H2-1.2</v>
          </cell>
          <cell r="E250" t="str">
            <v>Embankment</v>
          </cell>
          <cell r="F250" t="str">
            <v>m³</v>
          </cell>
          <cell r="G250">
            <v>4320</v>
          </cell>
          <cell r="H250">
            <v>5574</v>
          </cell>
          <cell r="I250">
            <v>24079680</v>
          </cell>
          <cell r="J250" t="str">
            <v>TS.2.10</v>
          </cell>
        </row>
        <row r="251">
          <cell r="B251" t="str">
            <v>H2-1.3</v>
          </cell>
          <cell r="E251" t="str">
            <v>Backfill with selected soil</v>
          </cell>
          <cell r="F251" t="str">
            <v>m³</v>
          </cell>
          <cell r="G251">
            <v>900</v>
          </cell>
          <cell r="H251">
            <v>5530</v>
          </cell>
          <cell r="I251">
            <v>4977000</v>
          </cell>
          <cell r="J251" t="str">
            <v>TS.2.10</v>
          </cell>
        </row>
        <row r="252">
          <cell r="B252" t="str">
            <v>H2-1.4</v>
          </cell>
          <cell r="E252" t="str">
            <v>Solid sodding</v>
          </cell>
          <cell r="F252" t="str">
            <v>m²</v>
          </cell>
          <cell r="G252">
            <v>610</v>
          </cell>
          <cell r="H252">
            <v>6139</v>
          </cell>
          <cell r="I252">
            <v>3744790</v>
          </cell>
          <cell r="J252" t="str">
            <v>TS.4.14</v>
          </cell>
        </row>
        <row r="253">
          <cell r="B253" t="str">
            <v>H2-1.5</v>
          </cell>
          <cell r="E253" t="str">
            <v>Demolition and removal of existing structure</v>
          </cell>
          <cell r="F253" t="str">
            <v>ls</v>
          </cell>
          <cell r="G253">
            <v>1</v>
          </cell>
          <cell r="H253">
            <v>31972850</v>
          </cell>
          <cell r="I253">
            <v>31972850</v>
          </cell>
          <cell r="J253" t="str">
            <v>TS.2.10</v>
          </cell>
        </row>
        <row r="254">
          <cell r="B254" t="str">
            <v>H2.2</v>
          </cell>
          <cell r="E254" t="str">
            <v>PILE FOUNDATION WORKS for PIER and ABUTMENT</v>
          </cell>
        </row>
        <row r="255">
          <cell r="B255" t="str">
            <v>H2-2.1</v>
          </cell>
          <cell r="E255" t="str">
            <v>SP pile for test pile, dia. 400 mm</v>
          </cell>
          <cell r="F255" t="str">
            <v>m</v>
          </cell>
          <cell r="G255">
            <v>19</v>
          </cell>
          <cell r="H255">
            <v>366915</v>
          </cell>
          <cell r="I255">
            <v>6971385</v>
          </cell>
          <cell r="J255" t="str">
            <v>TS.5.07</v>
          </cell>
        </row>
        <row r="256">
          <cell r="B256" t="str">
            <v>H2-2.2</v>
          </cell>
          <cell r="E256" t="str">
            <v>PC pile for test pile, dia. 400 mm, type B</v>
          </cell>
          <cell r="F256" t="str">
            <v>m</v>
          </cell>
          <cell r="G256">
            <v>16</v>
          </cell>
          <cell r="H256">
            <v>142967</v>
          </cell>
          <cell r="I256">
            <v>2287472</v>
          </cell>
          <cell r="J256" t="str">
            <v>TS.5.07</v>
          </cell>
        </row>
        <row r="257">
          <cell r="B257" t="str">
            <v>H2-2.3</v>
          </cell>
          <cell r="E257" t="str">
            <v>Static load test for SP and PC pile</v>
          </cell>
          <cell r="F257" t="str">
            <v>nos</v>
          </cell>
          <cell r="G257">
            <v>1</v>
          </cell>
          <cell r="H257">
            <v>19983031</v>
          </cell>
          <cell r="I257">
            <v>19983031</v>
          </cell>
          <cell r="J257" t="str">
            <v>TS.5.07</v>
          </cell>
        </row>
        <row r="258">
          <cell r="B258" t="str">
            <v>H2-2.4</v>
          </cell>
          <cell r="E258" t="str">
            <v>Supply and driving of SP piles, dia. 400 mm</v>
          </cell>
          <cell r="F258" t="str">
            <v>m</v>
          </cell>
          <cell r="G258">
            <v>990</v>
          </cell>
          <cell r="H258">
            <v>366915</v>
          </cell>
          <cell r="I258">
            <v>363245850</v>
          </cell>
          <cell r="J258" t="str">
            <v>TS.5.07</v>
          </cell>
        </row>
        <row r="259">
          <cell r="B259" t="str">
            <v>H2-2.5</v>
          </cell>
          <cell r="E259" t="str">
            <v>Supply and driving of PC piles, dia. 400 mm, type B</v>
          </cell>
          <cell r="F259" t="str">
            <v>m</v>
          </cell>
          <cell r="G259">
            <v>900</v>
          </cell>
          <cell r="H259">
            <v>142967</v>
          </cell>
          <cell r="I259">
            <v>128670300</v>
          </cell>
          <cell r="J259" t="str">
            <v>TS.5.07</v>
          </cell>
        </row>
        <row r="260">
          <cell r="B260" t="str">
            <v>H2-2.6</v>
          </cell>
          <cell r="E260" t="str">
            <v>Reinforcing steel bar</v>
          </cell>
          <cell r="F260" t="str">
            <v>kg</v>
          </cell>
          <cell r="G260">
            <v>14500</v>
          </cell>
          <cell r="H260">
            <v>3554</v>
          </cell>
          <cell r="I260">
            <v>51533000</v>
          </cell>
          <cell r="J260" t="str">
            <v>TS.3.24</v>
          </cell>
        </row>
        <row r="261">
          <cell r="B261" t="str">
            <v>H2-2.7</v>
          </cell>
          <cell r="E261" t="str">
            <v>Concrete, type C1</v>
          </cell>
          <cell r="F261" t="str">
            <v>m³</v>
          </cell>
          <cell r="G261">
            <v>51</v>
          </cell>
          <cell r="H261">
            <v>316982</v>
          </cell>
          <cell r="I261">
            <v>16166082</v>
          </cell>
          <cell r="J261" t="str">
            <v>TS.3.24</v>
          </cell>
        </row>
        <row r="262">
          <cell r="B262" t="str">
            <v>H2.3</v>
          </cell>
          <cell r="E262" t="str">
            <v>CONCRETE WORKS  for PIER, ABUTMENT and APPROACH SLAB</v>
          </cell>
        </row>
        <row r="263">
          <cell r="B263" t="str">
            <v>H2-3.1</v>
          </cell>
          <cell r="E263" t="str">
            <v>Concrete, type C1</v>
          </cell>
          <cell r="F263" t="str">
            <v>m³</v>
          </cell>
          <cell r="G263">
            <v>500</v>
          </cell>
          <cell r="H263">
            <v>314524</v>
          </cell>
          <cell r="I263">
            <v>157262000</v>
          </cell>
          <cell r="J263" t="str">
            <v>TS.3.24</v>
          </cell>
        </row>
        <row r="264">
          <cell r="B264" t="str">
            <v>H2-3.2</v>
          </cell>
          <cell r="E264" t="str">
            <v>Concrete, type E</v>
          </cell>
          <cell r="F264" t="str">
            <v>m³</v>
          </cell>
          <cell r="G264">
            <v>22</v>
          </cell>
          <cell r="H264">
            <v>289443</v>
          </cell>
          <cell r="I264">
            <v>6367746</v>
          </cell>
          <cell r="J264" t="str">
            <v>TS.3.24</v>
          </cell>
        </row>
        <row r="265">
          <cell r="B265" t="str">
            <v>H2-3.3</v>
          </cell>
          <cell r="E265" t="str">
            <v>Reinforcing steel bar</v>
          </cell>
          <cell r="F265" t="str">
            <v>kg</v>
          </cell>
          <cell r="G265">
            <v>74900</v>
          </cell>
          <cell r="H265">
            <v>3554</v>
          </cell>
          <cell r="I265">
            <v>266194600</v>
          </cell>
          <cell r="J265" t="str">
            <v>TS.3.24</v>
          </cell>
        </row>
        <row r="266">
          <cell r="B266" t="str">
            <v>H2-3.4</v>
          </cell>
          <cell r="E266" t="str">
            <v>Formwork FW1</v>
          </cell>
          <cell r="F266" t="str">
            <v>m²</v>
          </cell>
          <cell r="G266">
            <v>340</v>
          </cell>
          <cell r="H266">
            <v>70833</v>
          </cell>
          <cell r="I266">
            <v>24083220</v>
          </cell>
          <cell r="J266" t="str">
            <v>TS.3.24</v>
          </cell>
        </row>
        <row r="267">
          <cell r="B267" t="str">
            <v>H2-3.5</v>
          </cell>
          <cell r="E267" t="str">
            <v>Formwork FW2</v>
          </cell>
          <cell r="F267" t="str">
            <v>m²</v>
          </cell>
          <cell r="G267">
            <v>460</v>
          </cell>
          <cell r="H267">
            <v>84938</v>
          </cell>
          <cell r="I267">
            <v>39071480</v>
          </cell>
          <cell r="J267" t="str">
            <v>TS.3.24</v>
          </cell>
        </row>
        <row r="268">
          <cell r="B268" t="str">
            <v>H2-3.6</v>
          </cell>
          <cell r="E268" t="str">
            <v>Rubble stone bedding</v>
          </cell>
          <cell r="F268" t="str">
            <v>m³</v>
          </cell>
          <cell r="G268">
            <v>46</v>
          </cell>
          <cell r="H268">
            <v>75157</v>
          </cell>
          <cell r="I268">
            <v>3457222</v>
          </cell>
          <cell r="J268" t="str">
            <v>TS.4.14</v>
          </cell>
        </row>
        <row r="269">
          <cell r="B269" t="str">
            <v>H2.4</v>
          </cell>
          <cell r="E269" t="str">
            <v>CONCRETE WORKS for SUPER STRUCTURE</v>
          </cell>
        </row>
        <row r="270">
          <cell r="B270" t="str">
            <v>H2-4.1</v>
          </cell>
          <cell r="E270" t="str">
            <v>Precast prestressed concrete beam including tensioning and erection</v>
          </cell>
          <cell r="F270" t="str">
            <v>ls</v>
          </cell>
          <cell r="G270">
            <v>1</v>
          </cell>
          <cell r="H270">
            <v>678092960</v>
          </cell>
          <cell r="I270">
            <v>678092960</v>
          </cell>
          <cell r="J270" t="str">
            <v>TS.8.07</v>
          </cell>
        </row>
        <row r="271">
          <cell r="B271" t="str">
            <v>H2-4.2</v>
          </cell>
          <cell r="E271" t="str">
            <v>Precast prestressed concrete diaphragm</v>
          </cell>
          <cell r="F271" t="str">
            <v>ls</v>
          </cell>
          <cell r="G271">
            <v>1</v>
          </cell>
          <cell r="H271">
            <v>20168232</v>
          </cell>
          <cell r="I271">
            <v>20168232</v>
          </cell>
          <cell r="J271" t="str">
            <v>TS.8.07</v>
          </cell>
        </row>
        <row r="272">
          <cell r="B272" t="str">
            <v>H2-4.3</v>
          </cell>
          <cell r="E272" t="str">
            <v>Prestressed concrete panel for slab</v>
          </cell>
          <cell r="F272" t="str">
            <v>ls</v>
          </cell>
          <cell r="G272">
            <v>1</v>
          </cell>
          <cell r="H272">
            <v>109406928</v>
          </cell>
          <cell r="I272">
            <v>109406928</v>
          </cell>
          <cell r="J272" t="str">
            <v>TS.8.07</v>
          </cell>
        </row>
        <row r="273">
          <cell r="B273" t="str">
            <v>H2-4.4</v>
          </cell>
          <cell r="E273" t="str">
            <v>Concrete, type B for slab</v>
          </cell>
          <cell r="F273" t="str">
            <v>m³</v>
          </cell>
          <cell r="G273">
            <v>190</v>
          </cell>
          <cell r="H273">
            <v>412435</v>
          </cell>
          <cell r="I273">
            <v>78362650</v>
          </cell>
          <cell r="J273" t="str">
            <v>TS.3.24</v>
          </cell>
        </row>
        <row r="274">
          <cell r="B274" t="str">
            <v>H2-4.5</v>
          </cell>
          <cell r="E274" t="str">
            <v>Reinforcing steel bar</v>
          </cell>
          <cell r="F274" t="str">
            <v>kg</v>
          </cell>
          <cell r="G274">
            <v>36500</v>
          </cell>
          <cell r="H274">
            <v>3554</v>
          </cell>
          <cell r="I274">
            <v>129721000</v>
          </cell>
          <cell r="J274" t="str">
            <v>TS.3.24</v>
          </cell>
        </row>
        <row r="275">
          <cell r="B275" t="str">
            <v>H2-4.6</v>
          </cell>
          <cell r="E275" t="str">
            <v>Formwork FW2</v>
          </cell>
          <cell r="F275" t="str">
            <v>m²</v>
          </cell>
          <cell r="G275">
            <v>360</v>
          </cell>
          <cell r="H275">
            <v>84938</v>
          </cell>
          <cell r="I275">
            <v>30577680</v>
          </cell>
          <cell r="J275" t="str">
            <v>TS.3.24</v>
          </cell>
        </row>
        <row r="276">
          <cell r="B276" t="str">
            <v>H2.5</v>
          </cell>
          <cell r="E276" t="str">
            <v>MISCELLANEOUS WORKS</v>
          </cell>
        </row>
        <row r="277">
          <cell r="B277" t="str">
            <v>H2-5.1</v>
          </cell>
          <cell r="E277" t="str">
            <v>Expansion joint steel profile (75 mm x 75 mm x 6 mm)</v>
          </cell>
          <cell r="F277" t="str">
            <v>m</v>
          </cell>
          <cell r="G277">
            <v>32</v>
          </cell>
          <cell r="H277">
            <v>79130</v>
          </cell>
          <cell r="I277">
            <v>2532160</v>
          </cell>
          <cell r="J277" t="str">
            <v>TS.6.09</v>
          </cell>
        </row>
        <row r="278">
          <cell r="B278" t="str">
            <v>H2-5.2</v>
          </cell>
          <cell r="E278" t="str">
            <v>Elastomeric bearing pad for abutment 406 mm x 280 mm x 67 mm</v>
          </cell>
          <cell r="F278" t="str">
            <v>nos</v>
          </cell>
          <cell r="G278">
            <v>11</v>
          </cell>
          <cell r="H278">
            <v>739517</v>
          </cell>
          <cell r="I278">
            <v>8134687</v>
          </cell>
          <cell r="J278" t="str">
            <v>TS.8.07</v>
          </cell>
        </row>
        <row r="279">
          <cell r="B279" t="str">
            <v>H2-5.3</v>
          </cell>
          <cell r="E279" t="str">
            <v>Elastomeric bearing pad for pier 406 mm x 280 mm x 67 mm</v>
          </cell>
          <cell r="F279" t="str">
            <v>nos</v>
          </cell>
          <cell r="G279">
            <v>22</v>
          </cell>
          <cell r="H279">
            <v>739517</v>
          </cell>
          <cell r="I279">
            <v>16269374</v>
          </cell>
          <cell r="J279" t="str">
            <v>TS.8.07</v>
          </cell>
        </row>
        <row r="280">
          <cell r="B280" t="str">
            <v>H2-5.4</v>
          </cell>
          <cell r="E280" t="str">
            <v>Galvanized pipe drain dia. 100 mm</v>
          </cell>
          <cell r="F280" t="str">
            <v>m</v>
          </cell>
          <cell r="G280">
            <v>66</v>
          </cell>
          <cell r="H280">
            <v>83894</v>
          </cell>
          <cell r="I280">
            <v>5537004</v>
          </cell>
          <cell r="J280" t="str">
            <v>TS.8.07</v>
          </cell>
        </row>
        <row r="281">
          <cell r="B281" t="str">
            <v>H2-5.5</v>
          </cell>
          <cell r="E281" t="str">
            <v>Handrail, galvanized steel pipe</v>
          </cell>
          <cell r="F281" t="str">
            <v>kg</v>
          </cell>
          <cell r="G281">
            <v>4170</v>
          </cell>
          <cell r="H281">
            <v>6963</v>
          </cell>
          <cell r="I281">
            <v>29035710</v>
          </cell>
          <cell r="J281" t="str">
            <v>TS.6.09</v>
          </cell>
        </row>
        <row r="282">
          <cell r="B282" t="str">
            <v>H2-5.6</v>
          </cell>
          <cell r="E282" t="str">
            <v>Concrete, type C1 for handrail post, curb and footpass</v>
          </cell>
          <cell r="F282" t="str">
            <v>m³</v>
          </cell>
          <cell r="G282">
            <v>66</v>
          </cell>
          <cell r="H282">
            <v>315498</v>
          </cell>
          <cell r="I282">
            <v>20822868</v>
          </cell>
          <cell r="J282" t="str">
            <v>TS.3.24</v>
          </cell>
        </row>
        <row r="283">
          <cell r="B283" t="str">
            <v>H2-5.7</v>
          </cell>
          <cell r="E283" t="str">
            <v>Formwork FW1</v>
          </cell>
          <cell r="F283" t="str">
            <v>m²</v>
          </cell>
          <cell r="G283">
            <v>295</v>
          </cell>
          <cell r="H283">
            <v>70833</v>
          </cell>
          <cell r="I283">
            <v>20895735</v>
          </cell>
          <cell r="J283" t="str">
            <v>TS.3.24</v>
          </cell>
        </row>
        <row r="284">
          <cell r="B284" t="str">
            <v>H2-5.8</v>
          </cell>
          <cell r="E284" t="str">
            <v>Name plate</v>
          </cell>
          <cell r="F284" t="str">
            <v>nos</v>
          </cell>
          <cell r="G284">
            <v>2</v>
          </cell>
          <cell r="H284">
            <v>999152</v>
          </cell>
          <cell r="I284">
            <v>1998304</v>
          </cell>
          <cell r="J284" t="str">
            <v>TS.8.07</v>
          </cell>
        </row>
        <row r="285">
          <cell r="B285" t="str">
            <v>H2.6</v>
          </cell>
          <cell r="E285" t="str">
            <v>DRAINAGE DITCH and RETAINING WALL for APPROACH ROAD</v>
          </cell>
        </row>
        <row r="286">
          <cell r="B286" t="str">
            <v>H2-6.1</v>
          </cell>
          <cell r="E286" t="str">
            <v>Backfill with gravel</v>
          </cell>
          <cell r="F286" t="str">
            <v>m³</v>
          </cell>
          <cell r="G286">
            <v>110</v>
          </cell>
          <cell r="H286">
            <v>77757</v>
          </cell>
          <cell r="I286">
            <v>8553270</v>
          </cell>
          <cell r="J286" t="str">
            <v>TS.4.14</v>
          </cell>
        </row>
        <row r="287">
          <cell r="B287" t="str">
            <v>H2-6.2</v>
          </cell>
          <cell r="E287" t="str">
            <v>Wet stone masonry (1:4) for drainage ditch</v>
          </cell>
          <cell r="F287" t="str">
            <v>m³</v>
          </cell>
          <cell r="G287">
            <v>1190</v>
          </cell>
          <cell r="H287">
            <v>163909</v>
          </cell>
          <cell r="I287">
            <v>195051710</v>
          </cell>
          <cell r="J287" t="str">
            <v>TS.4.14</v>
          </cell>
        </row>
        <row r="288">
          <cell r="B288" t="str">
            <v>H2-6.3</v>
          </cell>
          <cell r="E288" t="str">
            <v>Cement mortar plastering</v>
          </cell>
          <cell r="F288" t="str">
            <v>m²</v>
          </cell>
          <cell r="G288">
            <v>990</v>
          </cell>
          <cell r="H288">
            <v>12274</v>
          </cell>
          <cell r="I288">
            <v>12151260</v>
          </cell>
          <cell r="J288" t="str">
            <v>TS.4.14</v>
          </cell>
        </row>
        <row r="289">
          <cell r="B289" t="str">
            <v>H2-6.4</v>
          </cell>
          <cell r="E289" t="str">
            <v>Concrete, type C1</v>
          </cell>
          <cell r="F289" t="str">
            <v>m³</v>
          </cell>
          <cell r="G289">
            <v>9</v>
          </cell>
          <cell r="H289">
            <v>347458</v>
          </cell>
          <cell r="I289">
            <v>3127122</v>
          </cell>
          <cell r="J289" t="str">
            <v>TS.3.24</v>
          </cell>
        </row>
        <row r="290">
          <cell r="B290" t="str">
            <v>H2-6.5</v>
          </cell>
          <cell r="E290" t="str">
            <v>Concrete, type E</v>
          </cell>
          <cell r="F290" t="str">
            <v>m³</v>
          </cell>
          <cell r="G290">
            <v>4</v>
          </cell>
          <cell r="H290">
            <v>323505</v>
          </cell>
          <cell r="I290">
            <v>1294020</v>
          </cell>
          <cell r="J290" t="str">
            <v>TS.3.24</v>
          </cell>
        </row>
        <row r="291">
          <cell r="B291" t="str">
            <v>H2-6.6</v>
          </cell>
          <cell r="E291" t="str">
            <v>Reinforcing steel bar</v>
          </cell>
          <cell r="F291" t="str">
            <v>kg</v>
          </cell>
          <cell r="G291">
            <v>1160</v>
          </cell>
          <cell r="H291">
            <v>3554</v>
          </cell>
          <cell r="I291">
            <v>4122640</v>
          </cell>
          <cell r="J291" t="str">
            <v>TS.3.24</v>
          </cell>
        </row>
        <row r="292">
          <cell r="B292" t="str">
            <v>H2-6.7</v>
          </cell>
          <cell r="E292" t="str">
            <v>Formwork FW1</v>
          </cell>
          <cell r="F292" t="str">
            <v>m²</v>
          </cell>
          <cell r="G292">
            <v>470</v>
          </cell>
          <cell r="H292">
            <v>70833</v>
          </cell>
          <cell r="I292">
            <v>33291510</v>
          </cell>
          <cell r="J292" t="str">
            <v>TS.3.24</v>
          </cell>
        </row>
        <row r="293">
          <cell r="B293" t="str">
            <v>H2-6.8</v>
          </cell>
          <cell r="E293" t="str">
            <v>Weep hole, dia. 50 mm, including filter clotch L = 1.5 m</v>
          </cell>
          <cell r="F293" t="str">
            <v>nos</v>
          </cell>
          <cell r="G293">
            <v>240</v>
          </cell>
          <cell r="H293">
            <v>72163</v>
          </cell>
          <cell r="I293">
            <v>17319120</v>
          </cell>
          <cell r="J293" t="str">
            <v>TS.4.14</v>
          </cell>
        </row>
        <row r="294">
          <cell r="B294" t="str">
            <v>H2.7</v>
          </cell>
          <cell r="E294" t="str">
            <v>PAVEMENT (SUPERSTRUCTURE and APPROACH ROAD : CLASS II)</v>
          </cell>
        </row>
        <row r="295">
          <cell r="B295" t="str">
            <v>H2-7.1</v>
          </cell>
          <cell r="E295" t="str">
            <v>Sub-base course (class B)</v>
          </cell>
          <cell r="F295" t="str">
            <v>m³</v>
          </cell>
          <cell r="G295">
            <v>220</v>
          </cell>
          <cell r="H295">
            <v>108708</v>
          </cell>
          <cell r="I295">
            <v>23915760</v>
          </cell>
          <cell r="J295" t="str">
            <v>TS.7.09</v>
          </cell>
        </row>
        <row r="296">
          <cell r="B296" t="str">
            <v>H2-7.2</v>
          </cell>
          <cell r="E296" t="str">
            <v>Base course (class A)</v>
          </cell>
          <cell r="F296" t="str">
            <v>m³</v>
          </cell>
          <cell r="G296">
            <v>100</v>
          </cell>
          <cell r="H296">
            <v>115502</v>
          </cell>
          <cell r="I296">
            <v>11550200</v>
          </cell>
          <cell r="J296" t="str">
            <v>TS.7.09</v>
          </cell>
        </row>
        <row r="297">
          <cell r="B297" t="str">
            <v>H2-7.3</v>
          </cell>
          <cell r="E297" t="str">
            <v>Asphalt treatment base (A.T.B)</v>
          </cell>
          <cell r="F297" t="str">
            <v>ton</v>
          </cell>
          <cell r="G297">
            <v>150</v>
          </cell>
          <cell r="H297">
            <v>319328</v>
          </cell>
          <cell r="I297">
            <v>47899200</v>
          </cell>
          <cell r="J297" t="str">
            <v>TS.7.09</v>
          </cell>
        </row>
        <row r="298">
          <cell r="B298" t="str">
            <v>H2-7.4</v>
          </cell>
          <cell r="E298" t="str">
            <v>Bituminous prime coat</v>
          </cell>
          <cell r="F298" t="str">
            <v>liter</v>
          </cell>
          <cell r="G298">
            <v>1550</v>
          </cell>
          <cell r="H298">
            <v>3737</v>
          </cell>
          <cell r="I298">
            <v>5792350</v>
          </cell>
          <cell r="J298" t="str">
            <v>TS.7.09</v>
          </cell>
        </row>
        <row r="299">
          <cell r="B299" t="str">
            <v>H2-7.5</v>
          </cell>
          <cell r="E299" t="str">
            <v>Bituminous surface course 50 mm thick</v>
          </cell>
          <cell r="F299" t="str">
            <v>ton</v>
          </cell>
          <cell r="G299">
            <v>150</v>
          </cell>
          <cell r="H299">
            <v>322726</v>
          </cell>
          <cell r="I299">
            <v>48408900</v>
          </cell>
          <cell r="J299" t="str">
            <v>TS.7.09</v>
          </cell>
        </row>
        <row r="300">
          <cell r="B300" t="str">
            <v>H3</v>
          </cell>
          <cell r="E300" t="str">
            <v>PERKUBUNAN BRIDGE (P2)</v>
          </cell>
        </row>
        <row r="301">
          <cell r="B301" t="str">
            <v>H3.1</v>
          </cell>
          <cell r="E301" t="str">
            <v>EARTH WORK</v>
          </cell>
        </row>
        <row r="302">
          <cell r="B302" t="str">
            <v>H3-1.1</v>
          </cell>
          <cell r="E302" t="str">
            <v>Excavation (common)</v>
          </cell>
          <cell r="F302" t="str">
            <v>m³</v>
          </cell>
          <cell r="G302">
            <v>2990</v>
          </cell>
          <cell r="H302">
            <v>6921</v>
          </cell>
          <cell r="I302">
            <v>20693790</v>
          </cell>
          <cell r="J302" t="str">
            <v>TS.2.10</v>
          </cell>
        </row>
        <row r="303">
          <cell r="B303" t="str">
            <v>H3-1.2</v>
          </cell>
          <cell r="E303" t="str">
            <v>Embankment</v>
          </cell>
          <cell r="F303" t="str">
            <v>m³</v>
          </cell>
          <cell r="G303">
            <v>4720</v>
          </cell>
          <cell r="H303">
            <v>5574</v>
          </cell>
          <cell r="I303">
            <v>26309280</v>
          </cell>
          <cell r="J303" t="str">
            <v>TS.2.10</v>
          </cell>
        </row>
        <row r="304">
          <cell r="B304" t="str">
            <v>H3-1.3</v>
          </cell>
          <cell r="E304" t="str">
            <v>Backfill with selected soil</v>
          </cell>
          <cell r="F304" t="str">
            <v>m³</v>
          </cell>
          <cell r="G304">
            <v>830</v>
          </cell>
          <cell r="H304">
            <v>5530</v>
          </cell>
          <cell r="I304">
            <v>4589900</v>
          </cell>
          <cell r="J304" t="str">
            <v>TS.2.10</v>
          </cell>
        </row>
        <row r="305">
          <cell r="B305" t="str">
            <v>H3-1.4</v>
          </cell>
          <cell r="E305" t="str">
            <v>Solid sodding</v>
          </cell>
          <cell r="F305" t="str">
            <v>m²</v>
          </cell>
          <cell r="G305">
            <v>640</v>
          </cell>
          <cell r="H305">
            <v>6139</v>
          </cell>
          <cell r="I305">
            <v>3928960</v>
          </cell>
          <cell r="J305" t="str">
            <v>TS.4.14</v>
          </cell>
        </row>
        <row r="306">
          <cell r="B306" t="str">
            <v>H3-1.5</v>
          </cell>
          <cell r="E306" t="str">
            <v>Demolition and removal of existing structure</v>
          </cell>
          <cell r="F306" t="str">
            <v>ls</v>
          </cell>
          <cell r="G306">
            <v>1</v>
          </cell>
          <cell r="H306">
            <v>20156373</v>
          </cell>
          <cell r="I306">
            <v>20156373</v>
          </cell>
          <cell r="J306" t="str">
            <v>TS.2.10</v>
          </cell>
        </row>
        <row r="307">
          <cell r="B307" t="str">
            <v>H3.2</v>
          </cell>
          <cell r="E307" t="str">
            <v>PILE FOUNDATION WORKS for PIER and ABUTMENT</v>
          </cell>
        </row>
        <row r="308">
          <cell r="B308" t="str">
            <v>H3-2.1</v>
          </cell>
          <cell r="E308" t="str">
            <v>SP pile for test pile, dia. 400 mm</v>
          </cell>
          <cell r="F308" t="str">
            <v>m</v>
          </cell>
          <cell r="G308">
            <v>20</v>
          </cell>
          <cell r="H308">
            <v>366915</v>
          </cell>
          <cell r="I308">
            <v>7338300</v>
          </cell>
          <cell r="J308" t="str">
            <v>TS.5.07</v>
          </cell>
        </row>
        <row r="309">
          <cell r="B309" t="str">
            <v>H3-2.2</v>
          </cell>
          <cell r="E309" t="str">
            <v>PC pile for test pile, dia. 400 mm, type B</v>
          </cell>
          <cell r="F309" t="str">
            <v>m</v>
          </cell>
          <cell r="G309">
            <v>20</v>
          </cell>
          <cell r="H309">
            <v>142967</v>
          </cell>
          <cell r="I309">
            <v>2859340</v>
          </cell>
          <cell r="J309" t="str">
            <v>TS.5.07</v>
          </cell>
        </row>
        <row r="310">
          <cell r="B310" t="str">
            <v>H3-2.3</v>
          </cell>
          <cell r="E310" t="str">
            <v>Static load test for SP and PC pile</v>
          </cell>
          <cell r="F310" t="str">
            <v>nos</v>
          </cell>
          <cell r="G310">
            <v>1</v>
          </cell>
          <cell r="H310">
            <v>19983031</v>
          </cell>
          <cell r="I310">
            <v>19983031</v>
          </cell>
          <cell r="J310" t="str">
            <v>TS.5.07</v>
          </cell>
        </row>
        <row r="311">
          <cell r="B311" t="str">
            <v>H3-2.4</v>
          </cell>
          <cell r="E311" t="str">
            <v>Supply and driving of SP piles, dia. 400 mm</v>
          </cell>
          <cell r="F311" t="str">
            <v>m</v>
          </cell>
          <cell r="G311">
            <v>480</v>
          </cell>
          <cell r="H311">
            <v>366915</v>
          </cell>
          <cell r="I311">
            <v>176119200</v>
          </cell>
          <cell r="J311" t="str">
            <v>TS.5.07</v>
          </cell>
        </row>
        <row r="312">
          <cell r="B312" t="str">
            <v>H3-2.5</v>
          </cell>
          <cell r="E312" t="str">
            <v>Supply and driving of PC piles, dia. 400 mm, type B</v>
          </cell>
          <cell r="F312" t="str">
            <v>m</v>
          </cell>
          <cell r="G312">
            <v>1150</v>
          </cell>
          <cell r="H312">
            <v>142967</v>
          </cell>
          <cell r="I312">
            <v>164412050</v>
          </cell>
          <cell r="J312" t="str">
            <v>TS.5.07</v>
          </cell>
        </row>
        <row r="313">
          <cell r="B313" t="str">
            <v>H3-2.6</v>
          </cell>
          <cell r="E313" t="str">
            <v>Reinforcing steel bar</v>
          </cell>
          <cell r="F313" t="str">
            <v>kg</v>
          </cell>
          <cell r="G313">
            <v>9820</v>
          </cell>
          <cell r="H313">
            <v>3554</v>
          </cell>
          <cell r="I313">
            <v>34900280</v>
          </cell>
          <cell r="J313" t="str">
            <v>TS.3.24</v>
          </cell>
        </row>
        <row r="314">
          <cell r="B314" t="str">
            <v>H3-2.7</v>
          </cell>
          <cell r="E314" t="str">
            <v>Concrete, type C1</v>
          </cell>
          <cell r="F314" t="str">
            <v>m³</v>
          </cell>
          <cell r="G314">
            <v>30</v>
          </cell>
          <cell r="H314">
            <v>321554</v>
          </cell>
          <cell r="I314">
            <v>9646620</v>
          </cell>
          <cell r="J314" t="str">
            <v>TS.3.24</v>
          </cell>
        </row>
        <row r="315">
          <cell r="B315" t="str">
            <v>H3.3</v>
          </cell>
          <cell r="E315" t="str">
            <v>CONCRETE WORKS for PIER, ABUTMENT and APPROACH SLAB</v>
          </cell>
        </row>
        <row r="316">
          <cell r="B316" t="str">
            <v>H3-3.1</v>
          </cell>
          <cell r="E316" t="str">
            <v>Concrete, type C1</v>
          </cell>
          <cell r="F316" t="str">
            <v>m³</v>
          </cell>
          <cell r="G316">
            <v>480</v>
          </cell>
          <cell r="H316">
            <v>314524</v>
          </cell>
          <cell r="I316">
            <v>150971520</v>
          </cell>
          <cell r="J316" t="str">
            <v>TS.3.24</v>
          </cell>
        </row>
        <row r="317">
          <cell r="B317" t="str">
            <v>H3-3.2</v>
          </cell>
          <cell r="E317" t="str">
            <v>Concrete, type E</v>
          </cell>
          <cell r="F317" t="str">
            <v>m³</v>
          </cell>
          <cell r="G317">
            <v>22</v>
          </cell>
          <cell r="H317">
            <v>289443</v>
          </cell>
          <cell r="I317">
            <v>6367746</v>
          </cell>
          <cell r="J317" t="str">
            <v>TS.3.24</v>
          </cell>
        </row>
        <row r="318">
          <cell r="B318" t="str">
            <v>H3-3.3</v>
          </cell>
          <cell r="E318" t="str">
            <v>Reinforcing steel bar</v>
          </cell>
          <cell r="F318" t="str">
            <v>kg</v>
          </cell>
          <cell r="G318">
            <v>71600</v>
          </cell>
          <cell r="H318">
            <v>3554</v>
          </cell>
          <cell r="I318">
            <v>254466400</v>
          </cell>
          <cell r="J318" t="str">
            <v>TS.3.24</v>
          </cell>
        </row>
        <row r="319">
          <cell r="B319" t="str">
            <v>H3-3.4</v>
          </cell>
          <cell r="E319" t="str">
            <v>Formwork FW1</v>
          </cell>
          <cell r="F319" t="str">
            <v>m²</v>
          </cell>
          <cell r="G319">
            <v>350</v>
          </cell>
          <cell r="H319">
            <v>70833</v>
          </cell>
          <cell r="I319">
            <v>24791550</v>
          </cell>
          <cell r="J319" t="str">
            <v>TS.3.24</v>
          </cell>
        </row>
        <row r="320">
          <cell r="B320" t="str">
            <v>H3-3.5</v>
          </cell>
          <cell r="E320" t="str">
            <v>Formwork FW2</v>
          </cell>
          <cell r="F320" t="str">
            <v>m²</v>
          </cell>
          <cell r="G320">
            <v>410</v>
          </cell>
          <cell r="H320">
            <v>84938</v>
          </cell>
          <cell r="I320">
            <v>34824580</v>
          </cell>
          <cell r="J320" t="str">
            <v>TS.3.24</v>
          </cell>
        </row>
        <row r="321">
          <cell r="B321" t="str">
            <v>H3-3.6</v>
          </cell>
          <cell r="E321" t="str">
            <v>Rubble stone bedding</v>
          </cell>
          <cell r="F321" t="str">
            <v>m³</v>
          </cell>
          <cell r="G321">
            <v>46</v>
          </cell>
          <cell r="H321">
            <v>75157</v>
          </cell>
          <cell r="I321">
            <v>3457222</v>
          </cell>
          <cell r="J321" t="str">
            <v>TS.4.14</v>
          </cell>
        </row>
        <row r="322">
          <cell r="B322" t="str">
            <v>H3.4</v>
          </cell>
          <cell r="E322" t="str">
            <v>CONCRETE WORKS for SUPER STRUCTURE</v>
          </cell>
        </row>
        <row r="323">
          <cell r="B323" t="str">
            <v>H3-4.1</v>
          </cell>
          <cell r="E323" t="str">
            <v>Precast prestressed concrete beam including tensioning and erection</v>
          </cell>
          <cell r="F323" t="str">
            <v>ls</v>
          </cell>
          <cell r="G323">
            <v>1</v>
          </cell>
          <cell r="H323">
            <v>1208990874</v>
          </cell>
          <cell r="I323">
            <v>1208990874</v>
          </cell>
          <cell r="J323" t="str">
            <v>TS.8.07</v>
          </cell>
        </row>
        <row r="324">
          <cell r="B324" t="str">
            <v>H3-4.2</v>
          </cell>
          <cell r="E324" t="str">
            <v>Precats prestressed concrete diaphragm</v>
          </cell>
          <cell r="F324" t="str">
            <v>ls</v>
          </cell>
          <cell r="G324">
            <v>1</v>
          </cell>
          <cell r="H324">
            <v>32324938</v>
          </cell>
          <cell r="I324">
            <v>32324938</v>
          </cell>
          <cell r="J324" t="str">
            <v>TS.8.07</v>
          </cell>
        </row>
        <row r="325">
          <cell r="B325" t="str">
            <v>H3-4.3</v>
          </cell>
          <cell r="E325" t="str">
            <v>Prestreed concrete panal for slab</v>
          </cell>
          <cell r="F325" t="str">
            <v>ls</v>
          </cell>
          <cell r="G325">
            <v>1</v>
          </cell>
          <cell r="H325">
            <v>149788277</v>
          </cell>
          <cell r="I325">
            <v>149788277</v>
          </cell>
          <cell r="J325" t="str">
            <v>TS.8.07</v>
          </cell>
        </row>
        <row r="326">
          <cell r="B326" t="str">
            <v>H3-4.4</v>
          </cell>
          <cell r="E326" t="str">
            <v>Concrete, type B for slab</v>
          </cell>
          <cell r="F326" t="str">
            <v>m³</v>
          </cell>
          <cell r="G326">
            <v>220</v>
          </cell>
          <cell r="H326">
            <v>412196</v>
          </cell>
          <cell r="I326">
            <v>90683120</v>
          </cell>
          <cell r="J326" t="str">
            <v>TS.3.24</v>
          </cell>
        </row>
        <row r="327">
          <cell r="B327" t="str">
            <v>H3-4.5</v>
          </cell>
          <cell r="E327" t="str">
            <v>Reinforcing steel bar</v>
          </cell>
          <cell r="F327" t="str">
            <v>kg</v>
          </cell>
          <cell r="G327">
            <v>45500</v>
          </cell>
          <cell r="H327">
            <v>3554</v>
          </cell>
          <cell r="I327">
            <v>161707000</v>
          </cell>
          <cell r="J327" t="str">
            <v>TS.3.24</v>
          </cell>
        </row>
        <row r="328">
          <cell r="B328" t="str">
            <v>H3-4.6</v>
          </cell>
          <cell r="E328" t="str">
            <v>Formwork FW2</v>
          </cell>
          <cell r="F328" t="str">
            <v>m²</v>
          </cell>
          <cell r="G328">
            <v>450</v>
          </cell>
          <cell r="H328">
            <v>84938</v>
          </cell>
          <cell r="I328">
            <v>38222100</v>
          </cell>
          <cell r="J328" t="str">
            <v>TS.3.24</v>
          </cell>
        </row>
        <row r="329">
          <cell r="B329" t="str">
            <v>H3.5</v>
          </cell>
          <cell r="E329" t="str">
            <v>MISCELLANEOUS WORKS</v>
          </cell>
        </row>
        <row r="330">
          <cell r="B330" t="str">
            <v>H3-5.1</v>
          </cell>
          <cell r="E330" t="str">
            <v>Expansion joint steel profile (75 mm x 75 mm x 6 mm)</v>
          </cell>
          <cell r="F330" t="str">
            <v>m</v>
          </cell>
          <cell r="G330">
            <v>32</v>
          </cell>
          <cell r="H330">
            <v>79130</v>
          </cell>
          <cell r="I330">
            <v>2532160</v>
          </cell>
          <cell r="J330" t="str">
            <v>TS.6.09</v>
          </cell>
        </row>
        <row r="331">
          <cell r="B331" t="str">
            <v>H3-5.2</v>
          </cell>
          <cell r="E331" t="str">
            <v>Elastomeric bearing pad for abutment 406 mm x 280 mm x 67 mm</v>
          </cell>
          <cell r="F331" t="str">
            <v>nos</v>
          </cell>
          <cell r="G331">
            <v>11</v>
          </cell>
          <cell r="H331">
            <v>739517</v>
          </cell>
          <cell r="I331">
            <v>8134687</v>
          </cell>
          <cell r="J331" t="str">
            <v>TS.8.07</v>
          </cell>
        </row>
        <row r="332">
          <cell r="B332" t="str">
            <v>H3-5.3</v>
          </cell>
          <cell r="E332" t="str">
            <v>Elastomeric bearing pad for pier 480 mm x 300 mm x 67 mm</v>
          </cell>
          <cell r="F332" t="str">
            <v>nos</v>
          </cell>
          <cell r="G332">
            <v>24</v>
          </cell>
          <cell r="H332">
            <v>946965</v>
          </cell>
          <cell r="I332">
            <v>22727160</v>
          </cell>
          <cell r="J332" t="str">
            <v>TS.8.07</v>
          </cell>
        </row>
        <row r="333">
          <cell r="B333" t="str">
            <v>H3-5.4</v>
          </cell>
          <cell r="E333" t="str">
            <v>Galvanized pipe drain dia. 100 mm</v>
          </cell>
          <cell r="F333" t="str">
            <v>m</v>
          </cell>
          <cell r="G333">
            <v>81</v>
          </cell>
          <cell r="H333">
            <v>83894</v>
          </cell>
          <cell r="I333">
            <v>6795414</v>
          </cell>
          <cell r="J333" t="str">
            <v>TS.8.07</v>
          </cell>
        </row>
        <row r="334">
          <cell r="B334" t="str">
            <v>H3-5.5</v>
          </cell>
          <cell r="E334" t="str">
            <v>Handrail, galvanized steel pipe</v>
          </cell>
          <cell r="F334" t="str">
            <v>kg</v>
          </cell>
          <cell r="G334">
            <v>5220</v>
          </cell>
          <cell r="H334">
            <v>6963</v>
          </cell>
          <cell r="I334">
            <v>36346860</v>
          </cell>
          <cell r="J334" t="str">
            <v>TS.6.09</v>
          </cell>
        </row>
        <row r="335">
          <cell r="B335" t="str">
            <v>H3-5.6</v>
          </cell>
          <cell r="E335" t="str">
            <v>Concrete, type C1 for handrail post, curb and footpass</v>
          </cell>
          <cell r="F335" t="str">
            <v>m³</v>
          </cell>
          <cell r="G335">
            <v>82</v>
          </cell>
          <cell r="H335">
            <v>314514</v>
          </cell>
          <cell r="I335">
            <v>25790148</v>
          </cell>
          <cell r="J335" t="str">
            <v>TS.3.24</v>
          </cell>
        </row>
        <row r="336">
          <cell r="B336" t="str">
            <v>H3-5.7</v>
          </cell>
          <cell r="E336" t="str">
            <v>Formwork FW1</v>
          </cell>
          <cell r="F336" t="str">
            <v>m²</v>
          </cell>
          <cell r="G336">
            <v>355</v>
          </cell>
          <cell r="H336">
            <v>70833</v>
          </cell>
          <cell r="I336">
            <v>25145715</v>
          </cell>
          <cell r="J336" t="str">
            <v>TS.3.24</v>
          </cell>
        </row>
        <row r="337">
          <cell r="B337" t="str">
            <v>H3-5.8</v>
          </cell>
          <cell r="E337" t="str">
            <v>Name plate</v>
          </cell>
          <cell r="F337" t="str">
            <v>nos</v>
          </cell>
          <cell r="G337">
            <v>2</v>
          </cell>
          <cell r="H337">
            <v>999152</v>
          </cell>
          <cell r="I337">
            <v>1998304</v>
          </cell>
          <cell r="J337" t="str">
            <v>TS.8.07</v>
          </cell>
        </row>
        <row r="338">
          <cell r="B338" t="str">
            <v>H3.6</v>
          </cell>
          <cell r="E338" t="str">
            <v>DRAINAGE DITCH and RETAINING WALL for APPROCH ROAD</v>
          </cell>
        </row>
        <row r="339">
          <cell r="B339" t="str">
            <v>H3-6.1</v>
          </cell>
          <cell r="E339" t="str">
            <v>Backfill with gravel</v>
          </cell>
          <cell r="F339" t="str">
            <v>m³</v>
          </cell>
          <cell r="G339">
            <v>240</v>
          </cell>
          <cell r="H339">
            <v>77757</v>
          </cell>
          <cell r="I339">
            <v>18661680</v>
          </cell>
          <cell r="J339" t="str">
            <v>TS.4.14</v>
          </cell>
        </row>
        <row r="340">
          <cell r="B340" t="str">
            <v>H3-6.2</v>
          </cell>
          <cell r="E340" t="str">
            <v>Wet stone masonry (1:4) for drainage ditch</v>
          </cell>
          <cell r="F340" t="str">
            <v>m³</v>
          </cell>
          <cell r="G340">
            <v>500</v>
          </cell>
          <cell r="H340">
            <v>163909</v>
          </cell>
          <cell r="I340">
            <v>81954500</v>
          </cell>
          <cell r="J340" t="str">
            <v>TS.4.14</v>
          </cell>
        </row>
        <row r="341">
          <cell r="B341" t="str">
            <v>H3-6.3</v>
          </cell>
          <cell r="E341" t="str">
            <v>Cement mortar plastering</v>
          </cell>
          <cell r="F341" t="str">
            <v>m²</v>
          </cell>
          <cell r="G341">
            <v>760</v>
          </cell>
          <cell r="H341">
            <v>12274</v>
          </cell>
          <cell r="I341">
            <v>9328240</v>
          </cell>
          <cell r="J341" t="str">
            <v>TS.4.14</v>
          </cell>
        </row>
        <row r="342">
          <cell r="B342" t="str">
            <v>H3-6.4</v>
          </cell>
          <cell r="E342" t="str">
            <v>Concrete, type C1</v>
          </cell>
          <cell r="F342" t="str">
            <v>m³</v>
          </cell>
          <cell r="G342">
            <v>7</v>
          </cell>
          <cell r="H342">
            <v>358031</v>
          </cell>
          <cell r="I342">
            <v>2506217</v>
          </cell>
          <cell r="J342" t="str">
            <v>TS.3.24</v>
          </cell>
        </row>
        <row r="343">
          <cell r="B343" t="str">
            <v>H3-6.5</v>
          </cell>
          <cell r="E343" t="str">
            <v>Concrete, type E</v>
          </cell>
          <cell r="F343" t="str">
            <v>m³</v>
          </cell>
          <cell r="G343">
            <v>5</v>
          </cell>
          <cell r="H343">
            <v>315179</v>
          </cell>
          <cell r="I343">
            <v>1575895</v>
          </cell>
          <cell r="J343" t="str">
            <v>TS.3.24</v>
          </cell>
        </row>
        <row r="344">
          <cell r="B344" t="str">
            <v>H3-6.6</v>
          </cell>
          <cell r="E344" t="str">
            <v>Reinforcing steel bar</v>
          </cell>
          <cell r="F344" t="str">
            <v>kg</v>
          </cell>
          <cell r="G344">
            <v>910</v>
          </cell>
          <cell r="H344">
            <v>3554</v>
          </cell>
          <cell r="I344">
            <v>3234140</v>
          </cell>
          <cell r="J344" t="str">
            <v>TS.3.24</v>
          </cell>
        </row>
        <row r="345">
          <cell r="B345" t="str">
            <v>H3-6.7</v>
          </cell>
          <cell r="E345" t="str">
            <v>Formwork FW1</v>
          </cell>
          <cell r="F345" t="str">
            <v>m²</v>
          </cell>
          <cell r="G345">
            <v>280</v>
          </cell>
          <cell r="H345">
            <v>70833</v>
          </cell>
          <cell r="I345">
            <v>19833240</v>
          </cell>
          <cell r="J345" t="str">
            <v>TS.3.24</v>
          </cell>
        </row>
        <row r="346">
          <cell r="B346" t="str">
            <v>H3-6.8</v>
          </cell>
          <cell r="E346" t="str">
            <v>Weep hole, dia. 50 mm, including filter clotch</v>
          </cell>
          <cell r="F346" t="str">
            <v>nos</v>
          </cell>
          <cell r="G346">
            <v>190</v>
          </cell>
          <cell r="H346">
            <v>72163</v>
          </cell>
          <cell r="I346">
            <v>13710970</v>
          </cell>
          <cell r="J346" t="str">
            <v>TS.4.14</v>
          </cell>
        </row>
        <row r="347">
          <cell r="B347" t="str">
            <v>H3.7</v>
          </cell>
          <cell r="E347" t="str">
            <v>PAVEMENT (SUPER STRUCTURE and APPROACH ROAD : CLASS II)</v>
          </cell>
        </row>
        <row r="348">
          <cell r="B348" t="str">
            <v>H3-7.1</v>
          </cell>
          <cell r="E348" t="str">
            <v>Sub-base course (class B)</v>
          </cell>
          <cell r="F348" t="str">
            <v>m³</v>
          </cell>
          <cell r="G348">
            <v>290</v>
          </cell>
          <cell r="H348">
            <v>108708</v>
          </cell>
          <cell r="I348">
            <v>31525320</v>
          </cell>
          <cell r="J348" t="str">
            <v>TS.7.09</v>
          </cell>
        </row>
        <row r="349">
          <cell r="B349" t="str">
            <v>H3-7.2</v>
          </cell>
          <cell r="E349" t="str">
            <v>Base course (class A)</v>
          </cell>
          <cell r="F349" t="str">
            <v>m³</v>
          </cell>
          <cell r="G349">
            <v>140</v>
          </cell>
          <cell r="H349">
            <v>115502</v>
          </cell>
          <cell r="I349">
            <v>16170280</v>
          </cell>
          <cell r="J349" t="str">
            <v>TS.7.09</v>
          </cell>
        </row>
        <row r="350">
          <cell r="B350" t="str">
            <v>H3-7.3</v>
          </cell>
          <cell r="E350" t="str">
            <v>Asphalt treatment base (A.T.B)</v>
          </cell>
          <cell r="F350" t="str">
            <v>ton</v>
          </cell>
          <cell r="G350">
            <v>190</v>
          </cell>
          <cell r="H350">
            <v>319328</v>
          </cell>
          <cell r="I350">
            <v>60672320</v>
          </cell>
          <cell r="J350" t="str">
            <v>TS.7.09</v>
          </cell>
        </row>
        <row r="351">
          <cell r="B351" t="str">
            <v>H3-7.4</v>
          </cell>
          <cell r="E351" t="str">
            <v>Bituminous prime coat</v>
          </cell>
          <cell r="F351" t="str">
            <v>liter</v>
          </cell>
          <cell r="G351">
            <v>2000</v>
          </cell>
          <cell r="H351">
            <v>3737</v>
          </cell>
          <cell r="I351">
            <v>7474000</v>
          </cell>
          <cell r="J351" t="str">
            <v>TS.7.09</v>
          </cell>
        </row>
        <row r="352">
          <cell r="B352" t="str">
            <v>H3-7.5</v>
          </cell>
          <cell r="E352" t="str">
            <v>Bituminous surface course 50 mm thick</v>
          </cell>
          <cell r="F352" t="str">
            <v>ton</v>
          </cell>
          <cell r="G352">
            <v>190</v>
          </cell>
          <cell r="H352">
            <v>322726</v>
          </cell>
          <cell r="I352">
            <v>61317940</v>
          </cell>
          <cell r="J352" t="str">
            <v>TS.7.09</v>
          </cell>
        </row>
        <row r="353">
          <cell r="B353" t="str">
            <v>H4</v>
          </cell>
          <cell r="E353" t="str">
            <v>TITI GANTUNG BRIDGE (P3)</v>
          </cell>
        </row>
        <row r="354">
          <cell r="B354" t="str">
            <v>H4.1</v>
          </cell>
          <cell r="E354" t="str">
            <v>EARTH WORK</v>
          </cell>
        </row>
        <row r="355">
          <cell r="B355" t="str">
            <v>H4-1.1</v>
          </cell>
          <cell r="E355" t="str">
            <v>Excavation (common)</v>
          </cell>
          <cell r="F355" t="str">
            <v>m³</v>
          </cell>
          <cell r="G355">
            <v>2940</v>
          </cell>
          <cell r="H355">
            <v>6921</v>
          </cell>
          <cell r="I355">
            <v>20347740</v>
          </cell>
          <cell r="J355" t="str">
            <v>TS.2.10</v>
          </cell>
        </row>
        <row r="356">
          <cell r="B356" t="str">
            <v>H4-1.2</v>
          </cell>
          <cell r="E356" t="str">
            <v>Embankment</v>
          </cell>
          <cell r="F356" t="str">
            <v>m³</v>
          </cell>
          <cell r="G356">
            <v>2980</v>
          </cell>
          <cell r="H356">
            <v>5574</v>
          </cell>
          <cell r="I356">
            <v>16610520</v>
          </cell>
          <cell r="J356" t="str">
            <v>TS.2.10</v>
          </cell>
        </row>
        <row r="357">
          <cell r="B357" t="str">
            <v>H4-1.3</v>
          </cell>
          <cell r="E357" t="str">
            <v>Backfill with selected soil</v>
          </cell>
          <cell r="F357" t="str">
            <v>m³</v>
          </cell>
          <cell r="G357">
            <v>970</v>
          </cell>
          <cell r="H357">
            <v>5530</v>
          </cell>
          <cell r="I357">
            <v>5364100</v>
          </cell>
          <cell r="J357" t="str">
            <v>TS.2.10</v>
          </cell>
        </row>
        <row r="358">
          <cell r="B358" t="str">
            <v>H4-1.4</v>
          </cell>
          <cell r="E358" t="str">
            <v>Solid sodding</v>
          </cell>
          <cell r="F358" t="str">
            <v>m²</v>
          </cell>
          <cell r="G358">
            <v>300</v>
          </cell>
          <cell r="H358">
            <v>6139</v>
          </cell>
          <cell r="I358">
            <v>1841700</v>
          </cell>
          <cell r="J358" t="str">
            <v>TS.4.14</v>
          </cell>
        </row>
        <row r="359">
          <cell r="B359" t="str">
            <v>H4-1.5</v>
          </cell>
          <cell r="E359" t="str">
            <v>Demolition and removal of existing structure</v>
          </cell>
          <cell r="F359" t="str">
            <v>ls</v>
          </cell>
          <cell r="G359">
            <v>1</v>
          </cell>
          <cell r="H359">
            <v>20156373</v>
          </cell>
          <cell r="I359">
            <v>20156373</v>
          </cell>
          <cell r="J359" t="str">
            <v>TS.2.10</v>
          </cell>
        </row>
        <row r="360">
          <cell r="B360" t="str">
            <v>H4.2</v>
          </cell>
          <cell r="E360" t="str">
            <v>PILE FOUNDATION WORKS for PIER and ABUTMENT</v>
          </cell>
        </row>
        <row r="361">
          <cell r="B361" t="str">
            <v>H4-2.1</v>
          </cell>
          <cell r="E361" t="str">
            <v>SP pile for test pile, dia. 400 mm</v>
          </cell>
          <cell r="F361" t="str">
            <v>m</v>
          </cell>
          <cell r="G361">
            <v>28</v>
          </cell>
          <cell r="H361">
            <v>366915</v>
          </cell>
          <cell r="I361">
            <v>10273620</v>
          </cell>
          <cell r="J361" t="str">
            <v>TS.5.07</v>
          </cell>
        </row>
        <row r="362">
          <cell r="B362" t="str">
            <v>H4-2.2</v>
          </cell>
          <cell r="E362" t="str">
            <v>Static load test for SP and PC pile</v>
          </cell>
          <cell r="F362" t="str">
            <v>nos</v>
          </cell>
          <cell r="G362">
            <v>1</v>
          </cell>
          <cell r="H362">
            <v>19983031</v>
          </cell>
          <cell r="I362">
            <v>19983031</v>
          </cell>
          <cell r="J362" t="str">
            <v>TS.5.07</v>
          </cell>
        </row>
        <row r="363">
          <cell r="B363" t="str">
            <v>H4-2.3</v>
          </cell>
          <cell r="E363" t="str">
            <v>Supply and driving of SP piles, dia. 400 mm</v>
          </cell>
          <cell r="F363" t="str">
            <v>m</v>
          </cell>
          <cell r="G363">
            <v>1880</v>
          </cell>
          <cell r="H363">
            <v>366915</v>
          </cell>
          <cell r="I363">
            <v>689800200</v>
          </cell>
          <cell r="J363" t="str">
            <v>TS.5.07</v>
          </cell>
        </row>
        <row r="364">
          <cell r="B364" t="str">
            <v>H4-2.4</v>
          </cell>
          <cell r="E364" t="str">
            <v>Reinforcing steel bar</v>
          </cell>
          <cell r="F364" t="str">
            <v>kg</v>
          </cell>
          <cell r="G364">
            <v>20900</v>
          </cell>
          <cell r="H364">
            <v>3554</v>
          </cell>
          <cell r="I364">
            <v>74278600</v>
          </cell>
          <cell r="J364" t="str">
            <v>TS.3.24</v>
          </cell>
        </row>
        <row r="365">
          <cell r="B365" t="str">
            <v>H4-2.5</v>
          </cell>
          <cell r="E365" t="str">
            <v>Concrete, type C1</v>
          </cell>
          <cell r="F365" t="str">
            <v>m³</v>
          </cell>
          <cell r="G365">
            <v>82</v>
          </cell>
          <cell r="H365">
            <v>314514</v>
          </cell>
          <cell r="I365">
            <v>25790148</v>
          </cell>
          <cell r="J365" t="str">
            <v>TS.3.24</v>
          </cell>
        </row>
        <row r="366">
          <cell r="B366" t="str">
            <v>H4.3</v>
          </cell>
          <cell r="E366" t="str">
            <v>CONCRETE WORKS for PIER, ABUTMENT and APPROACH SLAB</v>
          </cell>
        </row>
        <row r="367">
          <cell r="B367" t="str">
            <v>H4-3.1</v>
          </cell>
          <cell r="E367" t="str">
            <v>Concrete, type C1</v>
          </cell>
          <cell r="F367" t="str">
            <v>m³</v>
          </cell>
          <cell r="G367">
            <v>360</v>
          </cell>
          <cell r="H367">
            <v>314524</v>
          </cell>
          <cell r="I367">
            <v>113228640</v>
          </cell>
          <cell r="J367" t="str">
            <v>TS.3.24</v>
          </cell>
        </row>
        <row r="368">
          <cell r="B368" t="str">
            <v>H4-3.2</v>
          </cell>
          <cell r="E368" t="str">
            <v>Concrete, type E</v>
          </cell>
          <cell r="F368" t="str">
            <v>m³</v>
          </cell>
          <cell r="G368">
            <v>15</v>
          </cell>
          <cell r="H368">
            <v>292976</v>
          </cell>
          <cell r="I368">
            <v>4394640</v>
          </cell>
          <cell r="J368" t="str">
            <v>TS.3.24</v>
          </cell>
        </row>
        <row r="369">
          <cell r="B369" t="str">
            <v>H4-3.3</v>
          </cell>
          <cell r="E369" t="str">
            <v>Reinforcing steel bar</v>
          </cell>
          <cell r="F369" t="str">
            <v>kg</v>
          </cell>
          <cell r="G369">
            <v>52100</v>
          </cell>
          <cell r="H369">
            <v>3554</v>
          </cell>
          <cell r="I369">
            <v>185163400</v>
          </cell>
          <cell r="J369" t="str">
            <v>TS.3.24</v>
          </cell>
        </row>
        <row r="370">
          <cell r="B370" t="str">
            <v>H4-3.4</v>
          </cell>
          <cell r="E370" t="str">
            <v>Formwork FW1</v>
          </cell>
          <cell r="F370" t="str">
            <v>m²</v>
          </cell>
          <cell r="G370">
            <v>250</v>
          </cell>
          <cell r="H370">
            <v>70833</v>
          </cell>
          <cell r="I370">
            <v>17708250</v>
          </cell>
          <cell r="J370" t="str">
            <v>TS.3.24</v>
          </cell>
        </row>
        <row r="371">
          <cell r="B371" t="str">
            <v>H4-3.5</v>
          </cell>
          <cell r="E371" t="str">
            <v>Formwork FW2</v>
          </cell>
          <cell r="F371" t="str">
            <v>m²</v>
          </cell>
          <cell r="G371">
            <v>330</v>
          </cell>
          <cell r="H371">
            <v>84938</v>
          </cell>
          <cell r="I371">
            <v>28029540</v>
          </cell>
          <cell r="J371" t="str">
            <v>TS.3.24</v>
          </cell>
        </row>
        <row r="372">
          <cell r="B372" t="str">
            <v>H4-3.6</v>
          </cell>
          <cell r="E372" t="str">
            <v>Rubble stone bedding</v>
          </cell>
          <cell r="F372" t="str">
            <v>m³</v>
          </cell>
          <cell r="G372">
            <v>20</v>
          </cell>
          <cell r="H372">
            <v>75157</v>
          </cell>
          <cell r="I372">
            <v>1503140</v>
          </cell>
          <cell r="J372" t="str">
            <v>TS.4.14</v>
          </cell>
        </row>
        <row r="373">
          <cell r="B373" t="str">
            <v>H4.4</v>
          </cell>
          <cell r="E373" t="str">
            <v>CONCRETE WORKS for SUPER STRUCTURE</v>
          </cell>
        </row>
        <row r="374">
          <cell r="B374" t="str">
            <v>H4-4.1</v>
          </cell>
          <cell r="E374" t="str">
            <v>Precast prestressed concrete beam including tensioning and erection</v>
          </cell>
          <cell r="F374" t="str">
            <v>ls</v>
          </cell>
          <cell r="G374">
            <v>1</v>
          </cell>
          <cell r="H374">
            <v>727392159</v>
          </cell>
          <cell r="I374">
            <v>727392159</v>
          </cell>
          <cell r="J374" t="str">
            <v>TS.8.07</v>
          </cell>
        </row>
        <row r="375">
          <cell r="B375" t="str">
            <v>H4-4.2</v>
          </cell>
          <cell r="E375" t="str">
            <v>Precats prestressed concrete diaphragm</v>
          </cell>
          <cell r="F375" t="str">
            <v>ls</v>
          </cell>
          <cell r="G375">
            <v>1</v>
          </cell>
          <cell r="H375">
            <v>22532906</v>
          </cell>
          <cell r="I375">
            <v>22532906</v>
          </cell>
          <cell r="J375" t="str">
            <v>TS.8.07</v>
          </cell>
        </row>
        <row r="376">
          <cell r="B376" t="str">
            <v>H4-4.3</v>
          </cell>
          <cell r="E376" t="str">
            <v>Prestreed concrete panel for slab</v>
          </cell>
          <cell r="F376" t="str">
            <v>ls</v>
          </cell>
          <cell r="G376">
            <v>1</v>
          </cell>
          <cell r="H376">
            <v>88474521</v>
          </cell>
          <cell r="I376">
            <v>88474521</v>
          </cell>
          <cell r="J376" t="str">
            <v>TS.8.07</v>
          </cell>
        </row>
        <row r="377">
          <cell r="B377" t="str">
            <v>H4-4.4</v>
          </cell>
          <cell r="E377" t="str">
            <v>Concrete, type B for slab</v>
          </cell>
          <cell r="F377" t="str">
            <v>m³</v>
          </cell>
          <cell r="G377">
            <v>120</v>
          </cell>
          <cell r="H377">
            <v>413457</v>
          </cell>
          <cell r="I377">
            <v>49614840</v>
          </cell>
          <cell r="J377" t="str">
            <v>TS.3.24</v>
          </cell>
        </row>
        <row r="378">
          <cell r="B378" t="str">
            <v>H4-4.5</v>
          </cell>
          <cell r="E378" t="str">
            <v>Reinforcing steel bar</v>
          </cell>
          <cell r="F378" t="str">
            <v>kg</v>
          </cell>
          <cell r="G378">
            <v>25300</v>
          </cell>
          <cell r="H378">
            <v>3554</v>
          </cell>
          <cell r="I378">
            <v>89916200</v>
          </cell>
          <cell r="J378" t="str">
            <v>TS.3.24</v>
          </cell>
        </row>
        <row r="379">
          <cell r="B379" t="str">
            <v>H4-4.6</v>
          </cell>
          <cell r="E379" t="str">
            <v>Formwork FW2</v>
          </cell>
          <cell r="F379" t="str">
            <v>m²</v>
          </cell>
          <cell r="G379">
            <v>250</v>
          </cell>
          <cell r="H379">
            <v>84938</v>
          </cell>
          <cell r="I379">
            <v>21234500</v>
          </cell>
          <cell r="J379" t="str">
            <v>TS.3.24</v>
          </cell>
        </row>
        <row r="380">
          <cell r="B380" t="str">
            <v>H4.5</v>
          </cell>
          <cell r="E380" t="str">
            <v>MISCELLANEOUS WORKS</v>
          </cell>
        </row>
        <row r="381">
          <cell r="B381" t="str">
            <v>H4-5.1</v>
          </cell>
          <cell r="E381" t="str">
            <v>Expansion joint steel profile (75 mm x 75 mm x 6 mm)</v>
          </cell>
          <cell r="F381" t="str">
            <v>m</v>
          </cell>
          <cell r="G381">
            <v>24</v>
          </cell>
          <cell r="H381">
            <v>79130</v>
          </cell>
          <cell r="I381">
            <v>1899120</v>
          </cell>
          <cell r="J381" t="str">
            <v>TS.6.09</v>
          </cell>
        </row>
        <row r="382">
          <cell r="B382" t="str">
            <v>H4-5.2</v>
          </cell>
          <cell r="E382" t="str">
            <v>Elastomeric bearing pad for abutment 406 mm x 280 mm x 67 mm</v>
          </cell>
          <cell r="F382" t="str">
            <v>nos</v>
          </cell>
          <cell r="G382">
            <v>12</v>
          </cell>
          <cell r="H382">
            <v>739517</v>
          </cell>
          <cell r="I382">
            <v>8874204</v>
          </cell>
          <cell r="J382" t="str">
            <v>TS.8.07</v>
          </cell>
        </row>
        <row r="383">
          <cell r="B383" t="str">
            <v>H4-5.3</v>
          </cell>
          <cell r="E383" t="str">
            <v>Elastomeric bearing pad for pier 480 mm x 300 mm x 67 mm</v>
          </cell>
          <cell r="F383" t="str">
            <v>nos</v>
          </cell>
          <cell r="G383">
            <v>12</v>
          </cell>
          <cell r="H383">
            <v>946965</v>
          </cell>
          <cell r="I383">
            <v>11363580</v>
          </cell>
          <cell r="J383" t="str">
            <v>TS.8.07</v>
          </cell>
        </row>
        <row r="384">
          <cell r="B384" t="str">
            <v>H4-5.4</v>
          </cell>
          <cell r="E384" t="str">
            <v>Galvanized pipe drain dia. 100 mm</v>
          </cell>
          <cell r="F384" t="str">
            <v>m</v>
          </cell>
          <cell r="G384">
            <v>46</v>
          </cell>
          <cell r="H384">
            <v>83894</v>
          </cell>
          <cell r="I384">
            <v>3859124</v>
          </cell>
          <cell r="J384" t="str">
            <v>TS.8.07</v>
          </cell>
        </row>
        <row r="385">
          <cell r="B385" t="str">
            <v>H4-5.5</v>
          </cell>
          <cell r="E385" t="str">
            <v>Handrail, galvanized steel pipe</v>
          </cell>
          <cell r="F385" t="str">
            <v>kg</v>
          </cell>
          <cell r="G385">
            <v>2890</v>
          </cell>
          <cell r="H385">
            <v>6963</v>
          </cell>
          <cell r="I385">
            <v>20123070</v>
          </cell>
          <cell r="J385" t="str">
            <v>TS.6.09</v>
          </cell>
        </row>
        <row r="386">
          <cell r="B386" t="str">
            <v>H4-5.6</v>
          </cell>
          <cell r="E386" t="str">
            <v>Concrete, type C1 for handrail post, curb and footpass</v>
          </cell>
          <cell r="F386" t="str">
            <v>m³</v>
          </cell>
          <cell r="G386">
            <v>59</v>
          </cell>
          <cell r="H386">
            <v>316097</v>
          </cell>
          <cell r="I386">
            <v>18649723</v>
          </cell>
          <cell r="J386" t="str">
            <v>TS.3.24</v>
          </cell>
        </row>
        <row r="387">
          <cell r="B387" t="str">
            <v>H4-5.7</v>
          </cell>
          <cell r="E387" t="str">
            <v>Formwork FW1</v>
          </cell>
          <cell r="F387" t="str">
            <v>m²</v>
          </cell>
          <cell r="G387">
            <v>200</v>
          </cell>
          <cell r="H387">
            <v>70833</v>
          </cell>
          <cell r="I387">
            <v>14166600</v>
          </cell>
          <cell r="J387" t="str">
            <v>TS.3.24</v>
          </cell>
        </row>
        <row r="388">
          <cell r="B388" t="str">
            <v>H4-5.8</v>
          </cell>
          <cell r="E388" t="str">
            <v>Name plate</v>
          </cell>
          <cell r="F388" t="str">
            <v>nos</v>
          </cell>
          <cell r="G388">
            <v>2</v>
          </cell>
          <cell r="H388">
            <v>999152</v>
          </cell>
          <cell r="I388">
            <v>1998304</v>
          </cell>
          <cell r="J388" t="str">
            <v>TS.8.07</v>
          </cell>
        </row>
        <row r="389">
          <cell r="B389" t="str">
            <v>H4.6</v>
          </cell>
          <cell r="E389" t="str">
            <v>DRAINAGE DITCH and RETAINING WALL for APPROCH ROAD</v>
          </cell>
        </row>
        <row r="390">
          <cell r="B390" t="str">
            <v>H4-6.1</v>
          </cell>
          <cell r="E390" t="str">
            <v>Backfill with gravel</v>
          </cell>
          <cell r="F390" t="str">
            <v>m³</v>
          </cell>
          <cell r="G390">
            <v>340</v>
          </cell>
          <cell r="H390">
            <v>77757</v>
          </cell>
          <cell r="I390">
            <v>26437380</v>
          </cell>
          <cell r="J390" t="str">
            <v>TS.4.14</v>
          </cell>
        </row>
        <row r="391">
          <cell r="B391" t="str">
            <v>H4-6.2</v>
          </cell>
          <cell r="E391" t="str">
            <v>Wet stone masonry (1:4) for drainage ditch</v>
          </cell>
          <cell r="F391" t="str">
            <v>m³</v>
          </cell>
          <cell r="G391">
            <v>460</v>
          </cell>
          <cell r="H391">
            <v>163909</v>
          </cell>
          <cell r="I391">
            <v>75398140</v>
          </cell>
          <cell r="J391" t="str">
            <v>TS.4.14</v>
          </cell>
        </row>
        <row r="392">
          <cell r="B392" t="str">
            <v>H4-6.3</v>
          </cell>
          <cell r="E392" t="str">
            <v>Cement mortar plastering</v>
          </cell>
          <cell r="F392" t="str">
            <v>m²</v>
          </cell>
          <cell r="G392">
            <v>570</v>
          </cell>
          <cell r="H392">
            <v>12274</v>
          </cell>
          <cell r="I392">
            <v>6996180</v>
          </cell>
          <cell r="J392" t="str">
            <v>TS.4.14</v>
          </cell>
        </row>
        <row r="393">
          <cell r="B393" t="str">
            <v>H4-6.4</v>
          </cell>
          <cell r="E393" t="str">
            <v>Concrete, type C1</v>
          </cell>
          <cell r="F393" t="str">
            <v>m³</v>
          </cell>
          <cell r="G393">
            <v>5</v>
          </cell>
          <cell r="H393">
            <v>377062</v>
          </cell>
          <cell r="I393">
            <v>1885310</v>
          </cell>
          <cell r="J393" t="str">
            <v>TS.3.24</v>
          </cell>
        </row>
        <row r="394">
          <cell r="B394" t="str">
            <v>H4-6.5</v>
          </cell>
          <cell r="E394" t="str">
            <v>Concrete, type E</v>
          </cell>
          <cell r="F394" t="str">
            <v>m³</v>
          </cell>
          <cell r="G394">
            <v>4</v>
          </cell>
          <cell r="H394">
            <v>323505</v>
          </cell>
          <cell r="I394">
            <v>1294020</v>
          </cell>
          <cell r="J394" t="str">
            <v>TS.3.24</v>
          </cell>
        </row>
        <row r="395">
          <cell r="B395" t="str">
            <v>H4-6.6</v>
          </cell>
          <cell r="E395" t="str">
            <v>Reinforcing steel bar</v>
          </cell>
          <cell r="F395" t="str">
            <v>kg</v>
          </cell>
          <cell r="G395">
            <v>640</v>
          </cell>
          <cell r="H395">
            <v>3554</v>
          </cell>
          <cell r="I395">
            <v>2274560</v>
          </cell>
          <cell r="J395" t="str">
            <v>TS.3.24</v>
          </cell>
        </row>
        <row r="396">
          <cell r="B396" t="str">
            <v>H4-6.7</v>
          </cell>
          <cell r="E396" t="str">
            <v>Formwork FW1</v>
          </cell>
          <cell r="F396" t="str">
            <v>m²</v>
          </cell>
          <cell r="G396">
            <v>250</v>
          </cell>
          <cell r="H396">
            <v>70833</v>
          </cell>
          <cell r="I396">
            <v>17708250</v>
          </cell>
          <cell r="J396" t="str">
            <v>TS.3.24</v>
          </cell>
        </row>
        <row r="397">
          <cell r="B397" t="str">
            <v>H4-6.8</v>
          </cell>
          <cell r="E397" t="str">
            <v>Weep hole, dia. 50 mm, including filter clotch</v>
          </cell>
          <cell r="F397" t="str">
            <v>nos</v>
          </cell>
          <cell r="G397">
            <v>200</v>
          </cell>
          <cell r="H397">
            <v>72163</v>
          </cell>
          <cell r="I397">
            <v>14432600</v>
          </cell>
          <cell r="J397" t="str">
            <v>TS.4.14</v>
          </cell>
        </row>
        <row r="398">
          <cell r="B398" t="str">
            <v>H4.7</v>
          </cell>
          <cell r="E398" t="str">
            <v>PAVEMENT (SUPER STRUCTURE and APPROACH ROAD : CLASS II)</v>
          </cell>
        </row>
        <row r="399">
          <cell r="B399" t="str">
            <v>H4-7.1</v>
          </cell>
          <cell r="E399" t="str">
            <v>Sub-base course (class B)</v>
          </cell>
          <cell r="F399" t="str">
            <v>m³</v>
          </cell>
          <cell r="G399">
            <v>170</v>
          </cell>
          <cell r="H399">
            <v>108708</v>
          </cell>
          <cell r="I399">
            <v>18480360</v>
          </cell>
          <cell r="J399" t="str">
            <v>TS.7.09</v>
          </cell>
        </row>
        <row r="400">
          <cell r="B400" t="str">
            <v>H4-7.2</v>
          </cell>
          <cell r="E400" t="str">
            <v>Base course (class A)</v>
          </cell>
          <cell r="F400" t="str">
            <v>m³</v>
          </cell>
          <cell r="G400">
            <v>89</v>
          </cell>
          <cell r="H400">
            <v>115502</v>
          </cell>
          <cell r="I400">
            <v>10279678</v>
          </cell>
          <cell r="J400" t="str">
            <v>TS.7.09</v>
          </cell>
        </row>
        <row r="401">
          <cell r="B401" t="str">
            <v>H4-7.3</v>
          </cell>
          <cell r="E401" t="str">
            <v>Asphalt treatment base (A.T.B)</v>
          </cell>
          <cell r="F401" t="str">
            <v>ton</v>
          </cell>
          <cell r="G401">
            <v>130</v>
          </cell>
          <cell r="H401">
            <v>319328</v>
          </cell>
          <cell r="I401">
            <v>41512640</v>
          </cell>
          <cell r="J401" t="str">
            <v>TS.7.09</v>
          </cell>
        </row>
        <row r="402">
          <cell r="B402" t="str">
            <v>H4-7.4</v>
          </cell>
          <cell r="E402" t="str">
            <v>Bituminous prime coat</v>
          </cell>
          <cell r="F402" t="str">
            <v>liter</v>
          </cell>
          <cell r="G402">
            <v>1200</v>
          </cell>
          <cell r="H402">
            <v>3737</v>
          </cell>
          <cell r="I402">
            <v>4484400</v>
          </cell>
          <cell r="J402" t="str">
            <v>TS.7.09</v>
          </cell>
        </row>
        <row r="403">
          <cell r="B403" t="str">
            <v>H4-7.5</v>
          </cell>
          <cell r="E403" t="str">
            <v>Bituminous surface course 50 mm thick</v>
          </cell>
          <cell r="F403" t="str">
            <v>ton</v>
          </cell>
          <cell r="G403">
            <v>110</v>
          </cell>
          <cell r="H403">
            <v>322726</v>
          </cell>
          <cell r="I403">
            <v>35499860</v>
          </cell>
          <cell r="J403" t="str">
            <v>TS.7.09</v>
          </cell>
        </row>
        <row r="404">
          <cell r="B404" t="str">
            <v>H5 - H22</v>
          </cell>
          <cell r="E404" t="str">
            <v>(Not Applicable)</v>
          </cell>
        </row>
        <row r="406">
          <cell r="B406" t="str">
            <v>I</v>
          </cell>
          <cell r="E406" t="str">
            <v>OTHER WORKS</v>
          </cell>
        </row>
        <row r="407">
          <cell r="B407" t="str">
            <v>I1</v>
          </cell>
          <cell r="E407" t="str">
            <v>(Not Applicable)</v>
          </cell>
        </row>
        <row r="409">
          <cell r="B409" t="str">
            <v>I2</v>
          </cell>
          <cell r="E409" t="str">
            <v>DRAINAGE CHANNEL EXCAVATION (PE95+35 to PE105+30)</v>
          </cell>
        </row>
        <row r="410">
          <cell r="B410" t="str">
            <v>I2.1</v>
          </cell>
          <cell r="E410" t="str">
            <v>Clearing and grubbing</v>
          </cell>
          <cell r="F410" t="str">
            <v>m²</v>
          </cell>
          <cell r="G410">
            <v>10290</v>
          </cell>
          <cell r="H410">
            <v>4019</v>
          </cell>
          <cell r="I410">
            <v>41355510</v>
          </cell>
          <cell r="J410" t="str">
            <v>TS.2.10</v>
          </cell>
        </row>
        <row r="411">
          <cell r="B411" t="str">
            <v>I2.2</v>
          </cell>
          <cell r="E411" t="str">
            <v>Excavation (river channel)</v>
          </cell>
          <cell r="F411" t="str">
            <v>m³</v>
          </cell>
          <cell r="G411">
            <v>9130</v>
          </cell>
          <cell r="H411">
            <v>30448</v>
          </cell>
          <cell r="I411">
            <v>277990240</v>
          </cell>
          <cell r="J411" t="str">
            <v>TS.2.10</v>
          </cell>
        </row>
        <row r="412">
          <cell r="B412" t="str">
            <v>I2.3</v>
          </cell>
          <cell r="E412" t="str">
            <v>Stripping of top soil</v>
          </cell>
          <cell r="F412" t="str">
            <v>m³</v>
          </cell>
          <cell r="G412">
            <v>980</v>
          </cell>
          <cell r="H412">
            <v>21302</v>
          </cell>
          <cell r="I412">
            <v>20875960</v>
          </cell>
          <cell r="J412" t="str">
            <v>TS.2.10</v>
          </cell>
        </row>
        <row r="413">
          <cell r="B413" t="str">
            <v>I2.4</v>
          </cell>
          <cell r="E413" t="str">
            <v>Embankment</v>
          </cell>
          <cell r="F413" t="str">
            <v>m³</v>
          </cell>
          <cell r="G413">
            <v>2810</v>
          </cell>
          <cell r="H413">
            <v>5574</v>
          </cell>
          <cell r="I413">
            <v>15662940</v>
          </cell>
          <cell r="J413" t="str">
            <v>TS.2.10</v>
          </cell>
        </row>
        <row r="415">
          <cell r="B415" t="str">
            <v>I3</v>
          </cell>
          <cell r="E415" t="str">
            <v>(Not Applicable)</v>
          </cell>
        </row>
        <row r="417">
          <cell r="B417" t="str">
            <v>I4</v>
          </cell>
          <cell r="E417" t="str">
            <v>RELOCATION of EXISTING FARM ROAD (PE82 TO PE97) CLASS IV</v>
          </cell>
        </row>
        <row r="418">
          <cell r="B418" t="str">
            <v>I4.1</v>
          </cell>
          <cell r="E418" t="str">
            <v>Clearing and grubbing</v>
          </cell>
          <cell r="F418" t="str">
            <v>m²</v>
          </cell>
          <cell r="G418">
            <v>14000</v>
          </cell>
          <cell r="H418">
            <v>4019</v>
          </cell>
          <cell r="I418">
            <v>56266000</v>
          </cell>
          <cell r="J418" t="str">
            <v>TS.2.10</v>
          </cell>
        </row>
        <row r="419">
          <cell r="B419" t="str">
            <v>I4.2</v>
          </cell>
          <cell r="E419" t="str">
            <v>Stripping of top soil</v>
          </cell>
          <cell r="F419" t="str">
            <v>m³</v>
          </cell>
          <cell r="G419">
            <v>3280</v>
          </cell>
          <cell r="H419">
            <v>21302</v>
          </cell>
          <cell r="I419">
            <v>69870560</v>
          </cell>
          <cell r="J419" t="str">
            <v>TS.2.10</v>
          </cell>
        </row>
        <row r="420">
          <cell r="B420" t="str">
            <v>I4.3</v>
          </cell>
          <cell r="E420" t="str">
            <v>Embankment</v>
          </cell>
          <cell r="F420" t="str">
            <v>m³</v>
          </cell>
          <cell r="G420">
            <v>4750</v>
          </cell>
          <cell r="H420">
            <v>5574</v>
          </cell>
          <cell r="I420">
            <v>26476500</v>
          </cell>
          <cell r="J420" t="str">
            <v>TS.2.10</v>
          </cell>
        </row>
        <row r="421">
          <cell r="B421" t="str">
            <v>I4.4</v>
          </cell>
          <cell r="E421" t="str">
            <v>Gravel pavement, 200 mm thick</v>
          </cell>
          <cell r="F421" t="str">
            <v>m³</v>
          </cell>
          <cell r="G421">
            <v>1570</v>
          </cell>
          <cell r="H421">
            <v>77757</v>
          </cell>
          <cell r="I421">
            <v>122078490</v>
          </cell>
          <cell r="J421" t="str">
            <v>TS.7.09</v>
          </cell>
        </row>
        <row r="422">
          <cell r="B422" t="str">
            <v>I4.5</v>
          </cell>
          <cell r="E422" t="str">
            <v>Sodding</v>
          </cell>
          <cell r="F422" t="str">
            <v>m²</v>
          </cell>
          <cell r="G422">
            <v>7390</v>
          </cell>
          <cell r="H422">
            <v>6139</v>
          </cell>
          <cell r="I422">
            <v>45367210</v>
          </cell>
          <cell r="J422" t="str">
            <v>TS.4.14</v>
          </cell>
        </row>
        <row r="424">
          <cell r="B424" t="str">
            <v>I5 - I10</v>
          </cell>
          <cell r="E424" t="str">
            <v>(Not Applicable)</v>
          </cell>
        </row>
        <row r="425">
          <cell r="E425" t="str">
            <v>Total</v>
          </cell>
          <cell r="I425">
            <v>41655340867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KH"/>
      <sheetName val="ANALISA"/>
      <sheetName val="PERALATAN"/>
      <sheetName val="HARGA UPAH"/>
      <sheetName val="DATA PEELENGKAPAN"/>
      <sheetName val="DATA PERSONIL"/>
      <sheetName val="KURVA 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K4"/>
      <sheetName val="REKAP"/>
      <sheetName val="ANALISA "/>
    </sheetNames>
    <sheetDataSet>
      <sheetData sheetId="0"/>
      <sheetData sheetId="1"/>
      <sheetData sheetId="2" refreshError="1">
        <row r="1148">
          <cell r="AD1148" t="str">
            <v>DAFTAR HARGA BAHAN DAN UPAH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KAB MISKIN"/>
      <sheetName val="RAB RUMAH"/>
      <sheetName val="ANALISA "/>
    </sheetNames>
    <sheetDataSet>
      <sheetData sheetId="0"/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rab"/>
      <sheetName val="analisa"/>
      <sheetName val="rekap"/>
      <sheetName val="DRUP (ASLI)"/>
      <sheetName val="cover"/>
      <sheetName val="Pengesahan"/>
      <sheetName val="Analis"/>
      <sheetName val="H.b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rab"/>
      <sheetName val="analisa"/>
      <sheetName val="rekap"/>
      <sheetName val="DRUP (ASLI)"/>
      <sheetName val="cover"/>
      <sheetName val="Pengesahan"/>
      <sheetName val="Analis"/>
      <sheetName val="H.b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itulasi SKS"/>
      <sheetName val="Rekapitulasi"/>
      <sheetName val="Alat"/>
      <sheetName val="Produksi Alat"/>
      <sheetName val="Kuantitas"/>
      <sheetName val="Analisa"/>
      <sheetName val="DU&amp;B"/>
      <sheetName val="JADW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(lama)"/>
      <sheetName val="K1250(baru)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>
        <row r="2153">
          <cell r="T2153" t="str">
            <v>Analisa LI-7103</v>
          </cell>
        </row>
        <row r="2155">
          <cell r="L2155" t="str">
            <v>FORMULIR STANDAR UNTUK</v>
          </cell>
        </row>
        <row r="2156">
          <cell r="L2156" t="str">
            <v>PEREKAMAN ANALISA MASING-MASING HARGA SATUAN</v>
          </cell>
        </row>
        <row r="2157">
          <cell r="L2157">
            <v>0</v>
          </cell>
        </row>
        <row r="2160">
          <cell r="L2160" t="str">
            <v>PROYEK</v>
          </cell>
          <cell r="O2160" t="str">
            <v>: ADB Earthquake and Tsunami Emergency Support Project (ETESP)</v>
          </cell>
        </row>
        <row r="2161">
          <cell r="L2161" t="str">
            <v>No. PAKET KONTRAK</v>
          </cell>
          <cell r="O2161" t="str">
            <v>: Package 4 East Coast Road 1</v>
          </cell>
        </row>
        <row r="2162">
          <cell r="L2162" t="str">
            <v>NAMA PAKET</v>
          </cell>
          <cell r="O2162" t="str">
            <v>: Contract XI</v>
          </cell>
        </row>
        <row r="2163">
          <cell r="L2163" t="str">
            <v>PROP / KAB / KODYA</v>
          </cell>
          <cell r="O2163" t="str">
            <v>: Nanggroe Aceh Darussalam (NAD)</v>
          </cell>
        </row>
        <row r="2164">
          <cell r="L2164" t="str">
            <v>ITEM PEMBAYARAN NO.</v>
          </cell>
          <cell r="O2164" t="str">
            <v>:  7.10 (3)</v>
          </cell>
          <cell r="R2164" t="str">
            <v>PERKIRAAN VOL. PEK.</v>
          </cell>
          <cell r="T2164" t="str">
            <v>:</v>
          </cell>
          <cell r="U2164">
            <v>0</v>
          </cell>
        </row>
        <row r="2165">
          <cell r="L2165" t="str">
            <v>JENIS PEKERJAAN</v>
          </cell>
          <cell r="O2165" t="str">
            <v>:  Bronjong (Gabions)</v>
          </cell>
          <cell r="R2165" t="str">
            <v>TOTAL HARGA (Rp.)</v>
          </cell>
          <cell r="T2165" t="str">
            <v>:</v>
          </cell>
          <cell r="U2165">
            <v>0</v>
          </cell>
        </row>
        <row r="2166">
          <cell r="L2166" t="str">
            <v>SATUAN PEMBAYARAN</v>
          </cell>
          <cell r="O2166" t="str">
            <v>:  M3</v>
          </cell>
          <cell r="R2166" t="str">
            <v>% THD. BIAYA PROYEK</v>
          </cell>
          <cell r="T2166" t="str">
            <v>:</v>
          </cell>
          <cell r="U2166" t="e">
            <v>#DIV/0!</v>
          </cell>
        </row>
        <row r="2169">
          <cell r="Q2169" t="str">
            <v>PERKIRAAN</v>
          </cell>
          <cell r="R2169" t="str">
            <v>HARGA</v>
          </cell>
          <cell r="S2169" t="str">
            <v>JUMLAH</v>
          </cell>
        </row>
        <row r="2170">
          <cell r="L2170" t="str">
            <v>NO.</v>
          </cell>
          <cell r="N2170" t="str">
            <v>KOMPONEN</v>
          </cell>
          <cell r="P2170" t="str">
            <v>SATUAN</v>
          </cell>
          <cell r="Q2170" t="str">
            <v>KUANTITAS</v>
          </cell>
          <cell r="R2170" t="str">
            <v>SATUAN</v>
          </cell>
          <cell r="S2170" t="str">
            <v>HARGA</v>
          </cell>
        </row>
        <row r="2171">
          <cell r="R2171" t="str">
            <v>(Rp.)</v>
          </cell>
          <cell r="S2171" t="str">
            <v>(Rp.)</v>
          </cell>
        </row>
        <row r="2174">
          <cell r="L2174" t="str">
            <v>A.</v>
          </cell>
          <cell r="N2174" t="str">
            <v>TENAGA</v>
          </cell>
        </row>
        <row r="2176">
          <cell r="L2176" t="str">
            <v>1.</v>
          </cell>
          <cell r="N2176" t="str">
            <v>Pekerja Biasa</v>
          </cell>
          <cell r="O2176" t="str">
            <v>(L01)</v>
          </cell>
          <cell r="P2176" t="str">
            <v>jam</v>
          </cell>
          <cell r="Q2176">
            <v>5.25</v>
          </cell>
          <cell r="R2176">
            <v>5000</v>
          </cell>
          <cell r="U2176">
            <v>26250</v>
          </cell>
        </row>
        <row r="2177">
          <cell r="L2177" t="str">
            <v>2.</v>
          </cell>
          <cell r="N2177" t="str">
            <v>Tukang</v>
          </cell>
          <cell r="O2177" t="str">
            <v>(L02)</v>
          </cell>
          <cell r="P2177" t="str">
            <v>jam</v>
          </cell>
          <cell r="Q2177">
            <v>2.625</v>
          </cell>
          <cell r="R2177">
            <v>7500</v>
          </cell>
          <cell r="U2177">
            <v>19687.5</v>
          </cell>
        </row>
        <row r="2178">
          <cell r="L2178" t="str">
            <v>3.</v>
          </cell>
          <cell r="N2178" t="str">
            <v>Mandor</v>
          </cell>
          <cell r="O2178" t="str">
            <v>(L03)</v>
          </cell>
          <cell r="P2178" t="str">
            <v>jam</v>
          </cell>
          <cell r="Q2178">
            <v>0.875</v>
          </cell>
          <cell r="R2178">
            <v>6250</v>
          </cell>
          <cell r="U2178">
            <v>5468.75</v>
          </cell>
        </row>
        <row r="2180">
          <cell r="Q2180" t="str">
            <v xml:space="preserve">JUMLAH HARGA TENAGA   </v>
          </cell>
          <cell r="U2180">
            <v>51406.25</v>
          </cell>
        </row>
        <row r="2182">
          <cell r="L2182" t="str">
            <v>B.</v>
          </cell>
          <cell r="N2182" t="str">
            <v>BAHAN</v>
          </cell>
        </row>
        <row r="2184">
          <cell r="L2184" t="str">
            <v>1.</v>
          </cell>
          <cell r="N2184" t="str">
            <v xml:space="preserve">Kawat Bronjong </v>
          </cell>
          <cell r="O2184" t="str">
            <v>(M57)</v>
          </cell>
          <cell r="P2184" t="str">
            <v>Kg</v>
          </cell>
          <cell r="Q2184">
            <v>15</v>
          </cell>
          <cell r="R2184">
            <v>13850</v>
          </cell>
          <cell r="U2184">
            <v>207750</v>
          </cell>
        </row>
        <row r="2185">
          <cell r="L2185" t="str">
            <v>2.</v>
          </cell>
          <cell r="N2185" t="str">
            <v>Batu</v>
          </cell>
          <cell r="O2185" t="e">
            <v>#REF!</v>
          </cell>
          <cell r="P2185" t="str">
            <v>M3</v>
          </cell>
          <cell r="Q2185">
            <v>1.1000000000000001</v>
          </cell>
          <cell r="R2185">
            <v>61300</v>
          </cell>
          <cell r="U2185">
            <v>67430</v>
          </cell>
        </row>
        <row r="2190">
          <cell r="Q2190" t="str">
            <v xml:space="preserve">JUMLAH HARGA BAHAN   </v>
          </cell>
          <cell r="U2190">
            <v>275180</v>
          </cell>
        </row>
        <row r="2192">
          <cell r="L2192" t="str">
            <v>C.</v>
          </cell>
          <cell r="N2192" t="str">
            <v>PERALATAN</v>
          </cell>
        </row>
        <row r="2194">
          <cell r="L2194" t="str">
            <v>1.</v>
          </cell>
          <cell r="N2194" t="str">
            <v>Alat Bantu</v>
          </cell>
          <cell r="P2194" t="str">
            <v>Ls</v>
          </cell>
          <cell r="Q2194">
            <v>1</v>
          </cell>
          <cell r="R2194">
            <v>750</v>
          </cell>
          <cell r="U2194">
            <v>750</v>
          </cell>
        </row>
        <row r="2202">
          <cell r="Q2202" t="str">
            <v xml:space="preserve">JUMLAH HARGA PERALATAN   </v>
          </cell>
          <cell r="U2202">
            <v>750</v>
          </cell>
        </row>
        <row r="2204">
          <cell r="L2204" t="str">
            <v>D.</v>
          </cell>
          <cell r="N2204" t="str">
            <v>JUMLAH HARGA TENAGA, BAHAN DAN PERALATAN  ( A + B + C )</v>
          </cell>
          <cell r="U2204">
            <v>327336.25</v>
          </cell>
        </row>
        <row r="2205">
          <cell r="L2205" t="str">
            <v>E.</v>
          </cell>
          <cell r="N2205" t="str">
            <v>OVERHEAD &amp; PROFIT</v>
          </cell>
          <cell r="P2205">
            <v>10</v>
          </cell>
          <cell r="Q2205" t="str">
            <v>%  x  D</v>
          </cell>
          <cell r="U2205">
            <v>32733.625</v>
          </cell>
        </row>
        <row r="2206">
          <cell r="L2206" t="str">
            <v>F.</v>
          </cell>
          <cell r="N2206" t="str">
            <v>HARGA SATUAN PEKERJAAN  ( D + E )</v>
          </cell>
          <cell r="U2206">
            <v>360069.875</v>
          </cell>
        </row>
        <row r="2207">
          <cell r="L2207" t="str">
            <v>Note: 1</v>
          </cell>
          <cell r="N2207" t="str">
            <v>SATUAN dapat berdasarkan atas jam operasi untuk Tenaga Kerja dan Peralatan, volume dan/atau ukuran</v>
          </cell>
        </row>
        <row r="2208">
          <cell r="N2208" t="str">
            <v>berat untuk bahan-bahan.</v>
          </cell>
        </row>
        <row r="2209">
          <cell r="L2209">
            <v>2</v>
          </cell>
          <cell r="N2209" t="str">
            <v>Kuantitas satuan adalah kuantitas setiap komponen untuk menyelesaikan satu satuan pekerjaan dari nomor</v>
          </cell>
        </row>
        <row r="2210">
          <cell r="N2210" t="str">
            <v>mata pembayaran.</v>
          </cell>
        </row>
        <row r="2211">
          <cell r="L2211">
            <v>3</v>
          </cell>
          <cell r="N2211" t="str">
            <v>Biaya satuan untuk peralatan sudah termasuk bahan bakar, bahan habis dipakai dan operator.</v>
          </cell>
        </row>
        <row r="2212">
          <cell r="L2212">
            <v>4</v>
          </cell>
          <cell r="N2212" t="str">
            <v>Biaya satuan sudah termasuk pengeluaran untuk seluruh pajak yang berkaitan (tetapi tidak termasuk PPN</v>
          </cell>
        </row>
        <row r="2213">
          <cell r="N2213" t="str">
            <v>yang dibayar dari kontrak) dan biaya-biaya lainnya.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K "/>
      <sheetName val="Analisa BOW"/>
      <sheetName val="Upah + Bahan"/>
      <sheetName val="Jalan "/>
      <sheetName val="Rekap"/>
      <sheetName val="Jemb"/>
    </sheetNames>
    <sheetDataSet>
      <sheetData sheetId="0"/>
      <sheetData sheetId="1" refreshError="1">
        <row r="172">
          <cell r="N172">
            <v>9945.24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nalisa"/>
      <sheetName val="rab"/>
      <sheetName val="Sheet5"/>
      <sheetName val="Sheet6"/>
      <sheetName val="Sheet7"/>
      <sheetName val="Sheet8"/>
      <sheetName val="Sheet9"/>
      <sheetName val="Sheet10"/>
      <sheetName val="Sheet11"/>
      <sheetName val="DRUP (ASLI)"/>
      <sheetName val="Pengesahan"/>
      <sheetName val="Rekap"/>
      <sheetName val="Analis"/>
      <sheetName val="H.bh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nalisa"/>
      <sheetName val="rab"/>
      <sheetName val="Sheet5"/>
      <sheetName val="Sheet6"/>
      <sheetName val="Sheet7"/>
      <sheetName val="Sheet8"/>
      <sheetName val="Sheet9"/>
      <sheetName val="Sheet10"/>
      <sheetName val="Sheet11"/>
      <sheetName val="DRUP (ASLI)"/>
      <sheetName val="Pengesahan"/>
      <sheetName val="Rekap"/>
      <sheetName val="Analis"/>
      <sheetName val="H.bh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>
        <row r="15">
          <cell r="DR15">
            <v>7073837.4864515197</v>
          </cell>
        </row>
        <row r="16">
          <cell r="DR16">
            <v>392944588.67104131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>
            <v>0</v>
          </cell>
        </row>
        <row r="20">
          <cell r="DR20">
            <v>7147124.9434511662</v>
          </cell>
        </row>
        <row r="21">
          <cell r="DR21">
            <v>33566416.158041984</v>
          </cell>
        </row>
        <row r="22">
          <cell r="DR22">
            <v>1611895.8273461936</v>
          </cell>
        </row>
        <row r="23">
          <cell r="DR23">
            <v>0</v>
          </cell>
        </row>
        <row r="24">
          <cell r="DR24">
            <v>0</v>
          </cell>
        </row>
        <row r="25">
          <cell r="DR25">
            <v>0</v>
          </cell>
        </row>
        <row r="26">
          <cell r="DR26">
            <v>171145658.89584208</v>
          </cell>
        </row>
        <row r="27">
          <cell r="DR27">
            <v>0</v>
          </cell>
        </row>
        <row r="28">
          <cell r="DR28">
            <v>0</v>
          </cell>
        </row>
        <row r="29">
          <cell r="DR29">
            <v>49096094.823816702</v>
          </cell>
        </row>
        <row r="30">
          <cell r="DR30">
            <v>0</v>
          </cell>
        </row>
        <row r="31">
          <cell r="DR31">
            <v>83444182.243504569</v>
          </cell>
        </row>
        <row r="32">
          <cell r="DR32">
            <v>0</v>
          </cell>
        </row>
        <row r="33">
          <cell r="DR33">
            <v>44797209.684213921</v>
          </cell>
        </row>
        <row r="34">
          <cell r="DR34">
            <v>230080647.76457581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16656867.850673551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>
            <v>0</v>
          </cell>
        </row>
        <row r="43">
          <cell r="DR43">
            <v>58082970.644215256</v>
          </cell>
        </row>
        <row r="44">
          <cell r="DR44">
            <v>0</v>
          </cell>
        </row>
        <row r="45">
          <cell r="DR45">
            <v>31322277.738503456</v>
          </cell>
        </row>
        <row r="46">
          <cell r="DR46">
            <v>0</v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>
            <v>0</v>
          </cell>
        </row>
        <row r="51">
          <cell r="DR51">
            <v>0</v>
          </cell>
        </row>
        <row r="52">
          <cell r="DR52">
            <v>0</v>
          </cell>
        </row>
        <row r="53">
          <cell r="DR53">
            <v>4319655.5944314068</v>
          </cell>
        </row>
        <row r="54">
          <cell r="DR54">
            <v>0</v>
          </cell>
        </row>
        <row r="55">
          <cell r="DR55">
            <v>0</v>
          </cell>
        </row>
        <row r="56">
          <cell r="DR56">
            <v>0</v>
          </cell>
        </row>
        <row r="57">
          <cell r="DR57">
            <v>0</v>
          </cell>
        </row>
        <row r="58">
          <cell r="DR58">
            <v>0</v>
          </cell>
        </row>
        <row r="59">
          <cell r="DR59">
            <v>0</v>
          </cell>
        </row>
        <row r="60">
          <cell r="DR60">
            <v>0</v>
          </cell>
        </row>
        <row r="61">
          <cell r="DR61">
            <v>0</v>
          </cell>
        </row>
        <row r="62">
          <cell r="DR62">
            <v>0</v>
          </cell>
        </row>
        <row r="63">
          <cell r="DR63">
            <v>0</v>
          </cell>
        </row>
        <row r="64">
          <cell r="DR64">
            <v>0</v>
          </cell>
        </row>
        <row r="65">
          <cell r="DR65">
            <v>0</v>
          </cell>
        </row>
        <row r="66">
          <cell r="DR66">
            <v>0</v>
          </cell>
        </row>
        <row r="67">
          <cell r="DR67">
            <v>0</v>
          </cell>
        </row>
        <row r="68">
          <cell r="DR68">
            <v>0</v>
          </cell>
        </row>
        <row r="69">
          <cell r="DR69">
            <v>0</v>
          </cell>
        </row>
        <row r="70">
          <cell r="DR70">
            <v>0</v>
          </cell>
        </row>
        <row r="71">
          <cell r="DR71">
            <v>0</v>
          </cell>
        </row>
        <row r="72">
          <cell r="DR72">
            <v>0</v>
          </cell>
        </row>
        <row r="73">
          <cell r="DR73">
            <v>0</v>
          </cell>
        </row>
        <row r="74">
          <cell r="DR74">
            <v>0</v>
          </cell>
        </row>
        <row r="75">
          <cell r="DR75">
            <v>0</v>
          </cell>
        </row>
        <row r="76">
          <cell r="DR76">
            <v>0</v>
          </cell>
        </row>
        <row r="77">
          <cell r="DR77">
            <v>0</v>
          </cell>
        </row>
        <row r="78">
          <cell r="DR78">
            <v>0</v>
          </cell>
        </row>
        <row r="79">
          <cell r="DR79">
            <v>0</v>
          </cell>
        </row>
        <row r="80">
          <cell r="DR80">
            <v>0</v>
          </cell>
        </row>
        <row r="81">
          <cell r="DR81">
            <v>0</v>
          </cell>
        </row>
        <row r="82">
          <cell r="DR82">
            <v>0</v>
          </cell>
        </row>
        <row r="83">
          <cell r="DR83">
            <v>0</v>
          </cell>
        </row>
        <row r="84">
          <cell r="DR84">
            <v>0</v>
          </cell>
        </row>
        <row r="85">
          <cell r="DR85">
            <v>0</v>
          </cell>
        </row>
        <row r="86">
          <cell r="DR86">
            <v>0</v>
          </cell>
        </row>
        <row r="87">
          <cell r="DR87">
            <v>0</v>
          </cell>
        </row>
        <row r="88">
          <cell r="DR88">
            <v>0</v>
          </cell>
        </row>
        <row r="89">
          <cell r="DR89">
            <v>0</v>
          </cell>
        </row>
        <row r="90">
          <cell r="DR90">
            <v>0</v>
          </cell>
        </row>
        <row r="91">
          <cell r="DR91">
            <v>0</v>
          </cell>
        </row>
        <row r="92">
          <cell r="DR92">
            <v>0</v>
          </cell>
        </row>
        <row r="93">
          <cell r="DR93">
            <v>0</v>
          </cell>
        </row>
        <row r="94">
          <cell r="DR94">
            <v>0</v>
          </cell>
        </row>
        <row r="95">
          <cell r="DR95">
            <v>0</v>
          </cell>
        </row>
        <row r="96">
          <cell r="DR96">
            <v>0</v>
          </cell>
        </row>
        <row r="97">
          <cell r="DR97">
            <v>0</v>
          </cell>
        </row>
        <row r="98">
          <cell r="DR98">
            <v>0</v>
          </cell>
        </row>
        <row r="99">
          <cell r="DR99">
            <v>0</v>
          </cell>
        </row>
        <row r="100">
          <cell r="DR100">
            <v>0</v>
          </cell>
        </row>
        <row r="101">
          <cell r="DR101">
            <v>0</v>
          </cell>
        </row>
        <row r="102">
          <cell r="DR102">
            <v>0</v>
          </cell>
        </row>
        <row r="103">
          <cell r="DR103">
            <v>0</v>
          </cell>
        </row>
        <row r="104">
          <cell r="DR104">
            <v>0</v>
          </cell>
        </row>
        <row r="105">
          <cell r="DR105">
            <v>0</v>
          </cell>
        </row>
        <row r="106">
          <cell r="DR106">
            <v>0</v>
          </cell>
        </row>
        <row r="107">
          <cell r="DR107">
            <v>0</v>
          </cell>
        </row>
        <row r="108">
          <cell r="DR108">
            <v>0</v>
          </cell>
        </row>
        <row r="109">
          <cell r="DR109">
            <v>0</v>
          </cell>
        </row>
        <row r="110">
          <cell r="DR110">
            <v>0</v>
          </cell>
        </row>
        <row r="111">
          <cell r="DR111">
            <v>0</v>
          </cell>
        </row>
        <row r="112">
          <cell r="DR112">
            <v>0</v>
          </cell>
        </row>
        <row r="113">
          <cell r="DR113">
            <v>0</v>
          </cell>
        </row>
        <row r="114">
          <cell r="DR114">
            <v>0</v>
          </cell>
        </row>
        <row r="115">
          <cell r="DR115">
            <v>0</v>
          </cell>
        </row>
        <row r="116">
          <cell r="DR116">
            <v>0</v>
          </cell>
        </row>
        <row r="117">
          <cell r="DR117">
            <v>0</v>
          </cell>
        </row>
        <row r="118">
          <cell r="DR118">
            <v>0</v>
          </cell>
        </row>
        <row r="119">
          <cell r="DR119">
            <v>0</v>
          </cell>
        </row>
        <row r="120">
          <cell r="DR120">
            <v>0</v>
          </cell>
        </row>
        <row r="121">
          <cell r="DR121">
            <v>0</v>
          </cell>
        </row>
        <row r="122">
          <cell r="DR122">
            <v>0</v>
          </cell>
        </row>
        <row r="123">
          <cell r="DR123">
            <v>0</v>
          </cell>
        </row>
        <row r="124">
          <cell r="DR124">
            <v>0</v>
          </cell>
        </row>
        <row r="125">
          <cell r="DR125">
            <v>0</v>
          </cell>
        </row>
        <row r="126">
          <cell r="DR126">
            <v>0</v>
          </cell>
        </row>
        <row r="127">
          <cell r="DR127">
            <v>0</v>
          </cell>
        </row>
        <row r="128">
          <cell r="DR128">
            <v>0</v>
          </cell>
        </row>
        <row r="129">
          <cell r="DR129">
            <v>0</v>
          </cell>
        </row>
        <row r="130">
          <cell r="DR130">
            <v>0</v>
          </cell>
        </row>
        <row r="131">
          <cell r="DR131">
            <v>0</v>
          </cell>
        </row>
        <row r="132">
          <cell r="DR132">
            <v>0</v>
          </cell>
        </row>
        <row r="133">
          <cell r="DR133">
            <v>0</v>
          </cell>
        </row>
        <row r="134">
          <cell r="DR134">
            <v>0</v>
          </cell>
        </row>
        <row r="135">
          <cell r="DR135">
            <v>0</v>
          </cell>
        </row>
        <row r="136">
          <cell r="DR136">
            <v>0</v>
          </cell>
        </row>
        <row r="137">
          <cell r="DR137">
            <v>0</v>
          </cell>
        </row>
        <row r="138">
          <cell r="DR138">
            <v>0</v>
          </cell>
        </row>
        <row r="139">
          <cell r="DR139">
            <v>0</v>
          </cell>
        </row>
        <row r="140">
          <cell r="DR140">
            <v>0</v>
          </cell>
        </row>
        <row r="141">
          <cell r="DR141">
            <v>0</v>
          </cell>
        </row>
        <row r="142">
          <cell r="DR142">
            <v>0</v>
          </cell>
        </row>
        <row r="143">
          <cell r="DR143">
            <v>0</v>
          </cell>
        </row>
        <row r="144">
          <cell r="DR144">
            <v>0</v>
          </cell>
        </row>
        <row r="145">
          <cell r="DR145">
            <v>0</v>
          </cell>
        </row>
        <row r="146">
          <cell r="DR146">
            <v>0</v>
          </cell>
        </row>
        <row r="147">
          <cell r="DR147">
            <v>0</v>
          </cell>
        </row>
        <row r="148">
          <cell r="DR148">
            <v>0</v>
          </cell>
        </row>
        <row r="149">
          <cell r="DR149">
            <v>0</v>
          </cell>
        </row>
        <row r="150">
          <cell r="DR150">
            <v>0</v>
          </cell>
        </row>
        <row r="151">
          <cell r="DR151">
            <v>0</v>
          </cell>
        </row>
        <row r="152">
          <cell r="DR152">
            <v>0</v>
          </cell>
        </row>
        <row r="153">
          <cell r="DR153">
            <v>0</v>
          </cell>
        </row>
        <row r="154">
          <cell r="DR154">
            <v>0</v>
          </cell>
        </row>
        <row r="155">
          <cell r="DR155">
            <v>0</v>
          </cell>
        </row>
        <row r="156">
          <cell r="DR156">
            <v>0</v>
          </cell>
        </row>
        <row r="157">
          <cell r="DR157">
            <v>0</v>
          </cell>
        </row>
        <row r="158">
          <cell r="DR158">
            <v>0</v>
          </cell>
        </row>
        <row r="159">
          <cell r="DR159">
            <v>0</v>
          </cell>
        </row>
        <row r="160">
          <cell r="DR160">
            <v>0</v>
          </cell>
        </row>
        <row r="161">
          <cell r="DR161">
            <v>0</v>
          </cell>
        </row>
        <row r="162">
          <cell r="DR162">
            <v>0</v>
          </cell>
        </row>
        <row r="163">
          <cell r="DR163">
            <v>0</v>
          </cell>
        </row>
        <row r="164">
          <cell r="DR164">
            <v>0</v>
          </cell>
        </row>
        <row r="165">
          <cell r="DR165">
            <v>0</v>
          </cell>
        </row>
        <row r="166">
          <cell r="DR166">
            <v>0</v>
          </cell>
        </row>
        <row r="167">
          <cell r="DR167">
            <v>0</v>
          </cell>
        </row>
        <row r="168">
          <cell r="DR168">
            <v>0</v>
          </cell>
        </row>
        <row r="169">
          <cell r="DR169">
            <v>0</v>
          </cell>
        </row>
        <row r="170">
          <cell r="DR170">
            <v>0</v>
          </cell>
        </row>
        <row r="171">
          <cell r="DR171">
            <v>0</v>
          </cell>
        </row>
        <row r="172">
          <cell r="DR172">
            <v>0</v>
          </cell>
        </row>
        <row r="173">
          <cell r="DR173">
            <v>0</v>
          </cell>
        </row>
        <row r="174">
          <cell r="DR174">
            <v>0</v>
          </cell>
        </row>
        <row r="175">
          <cell r="DR175">
            <v>0</v>
          </cell>
        </row>
        <row r="176">
          <cell r="DR176">
            <v>0</v>
          </cell>
        </row>
        <row r="177">
          <cell r="DR177">
            <v>0</v>
          </cell>
        </row>
        <row r="178">
          <cell r="DR178">
            <v>0</v>
          </cell>
        </row>
        <row r="179">
          <cell r="DR179">
            <v>0</v>
          </cell>
        </row>
        <row r="180">
          <cell r="DR180">
            <v>0</v>
          </cell>
        </row>
        <row r="181">
          <cell r="DR181">
            <v>0</v>
          </cell>
        </row>
        <row r="182">
          <cell r="DR182">
            <v>0</v>
          </cell>
        </row>
        <row r="183">
          <cell r="DR183">
            <v>0</v>
          </cell>
        </row>
        <row r="184">
          <cell r="DR184">
            <v>0</v>
          </cell>
        </row>
        <row r="185">
          <cell r="DR185">
            <v>0</v>
          </cell>
        </row>
        <row r="186">
          <cell r="DR186">
            <v>0</v>
          </cell>
        </row>
        <row r="187">
          <cell r="DR187">
            <v>0</v>
          </cell>
        </row>
        <row r="188">
          <cell r="DR188">
            <v>0</v>
          </cell>
        </row>
        <row r="189">
          <cell r="DR189">
            <v>0</v>
          </cell>
        </row>
        <row r="190">
          <cell r="DR190">
            <v>1644068.3512807554</v>
          </cell>
        </row>
        <row r="191">
          <cell r="DR191">
            <v>0</v>
          </cell>
        </row>
        <row r="192">
          <cell r="DR192">
            <v>0</v>
          </cell>
        </row>
        <row r="193">
          <cell r="DR193">
            <v>0</v>
          </cell>
        </row>
        <row r="194">
          <cell r="DR194">
            <v>0</v>
          </cell>
        </row>
        <row r="195">
          <cell r="DR195">
            <v>0</v>
          </cell>
        </row>
        <row r="196">
          <cell r="DR196">
            <v>0</v>
          </cell>
        </row>
        <row r="197">
          <cell r="DR197">
            <v>0</v>
          </cell>
        </row>
        <row r="198">
          <cell r="DR198">
            <v>0</v>
          </cell>
        </row>
        <row r="199">
          <cell r="DR199">
            <v>0</v>
          </cell>
        </row>
        <row r="200">
          <cell r="DR200">
            <v>0</v>
          </cell>
        </row>
        <row r="201">
          <cell r="DR201">
            <v>0</v>
          </cell>
        </row>
        <row r="202">
          <cell r="DR202">
            <v>0</v>
          </cell>
        </row>
        <row r="203">
          <cell r="DR203">
            <v>0</v>
          </cell>
        </row>
        <row r="204">
          <cell r="DR204">
            <v>0</v>
          </cell>
        </row>
        <row r="205">
          <cell r="DR205">
            <v>0</v>
          </cell>
        </row>
        <row r="206">
          <cell r="DR206">
            <v>0</v>
          </cell>
        </row>
        <row r="207">
          <cell r="DR207">
            <v>0</v>
          </cell>
        </row>
        <row r="208">
          <cell r="DR208">
            <v>0</v>
          </cell>
        </row>
        <row r="209">
          <cell r="DR209">
            <v>0</v>
          </cell>
        </row>
        <row r="210">
          <cell r="DR210">
            <v>0</v>
          </cell>
        </row>
        <row r="211">
          <cell r="DR211">
            <v>0</v>
          </cell>
        </row>
        <row r="212">
          <cell r="DR212">
            <v>0</v>
          </cell>
        </row>
        <row r="213">
          <cell r="DR213">
            <v>0</v>
          </cell>
        </row>
        <row r="214">
          <cell r="DR214">
            <v>0</v>
          </cell>
        </row>
        <row r="215">
          <cell r="DR215">
            <v>0</v>
          </cell>
        </row>
        <row r="216">
          <cell r="DR216">
            <v>0</v>
          </cell>
        </row>
        <row r="217">
          <cell r="DR217">
            <v>0</v>
          </cell>
        </row>
        <row r="218">
          <cell r="DR218">
            <v>0</v>
          </cell>
        </row>
        <row r="219">
          <cell r="DR219">
            <v>0</v>
          </cell>
        </row>
        <row r="220">
          <cell r="DR220">
            <v>0</v>
          </cell>
        </row>
        <row r="221">
          <cell r="DR221">
            <v>0</v>
          </cell>
        </row>
        <row r="222">
          <cell r="DR222">
            <v>0</v>
          </cell>
        </row>
        <row r="223">
          <cell r="DR223">
            <v>0</v>
          </cell>
        </row>
        <row r="224">
          <cell r="DR224">
            <v>0</v>
          </cell>
        </row>
        <row r="225">
          <cell r="DR225">
            <v>0</v>
          </cell>
        </row>
        <row r="226">
          <cell r="DR226">
            <v>0</v>
          </cell>
        </row>
        <row r="227">
          <cell r="DR227">
            <v>0</v>
          </cell>
        </row>
        <row r="228">
          <cell r="DR228">
            <v>0</v>
          </cell>
        </row>
        <row r="229">
          <cell r="DR229">
            <v>0</v>
          </cell>
        </row>
        <row r="230">
          <cell r="DR230">
            <v>0</v>
          </cell>
        </row>
        <row r="231">
          <cell r="DR231">
            <v>0</v>
          </cell>
        </row>
        <row r="232">
          <cell r="DR232">
            <v>0</v>
          </cell>
        </row>
        <row r="233">
          <cell r="DR233">
            <v>0</v>
          </cell>
        </row>
        <row r="234">
          <cell r="DR234">
            <v>0</v>
          </cell>
        </row>
        <row r="235">
          <cell r="DR235">
            <v>0</v>
          </cell>
        </row>
        <row r="236">
          <cell r="DR236">
            <v>0</v>
          </cell>
        </row>
        <row r="237">
          <cell r="DR237">
            <v>0</v>
          </cell>
        </row>
        <row r="238">
          <cell r="DR238">
            <v>0</v>
          </cell>
        </row>
        <row r="239">
          <cell r="DR239">
            <v>0</v>
          </cell>
        </row>
        <row r="240">
          <cell r="DR240">
            <v>0</v>
          </cell>
        </row>
        <row r="241">
          <cell r="DR241">
            <v>0</v>
          </cell>
        </row>
        <row r="242">
          <cell r="DR242">
            <v>0</v>
          </cell>
        </row>
        <row r="243">
          <cell r="DR243">
            <v>0</v>
          </cell>
        </row>
        <row r="244">
          <cell r="DR244">
            <v>0</v>
          </cell>
        </row>
        <row r="245">
          <cell r="DR245">
            <v>0</v>
          </cell>
        </row>
        <row r="246">
          <cell r="DR246">
            <v>0</v>
          </cell>
        </row>
        <row r="247">
          <cell r="DR247">
            <v>0</v>
          </cell>
        </row>
        <row r="248">
          <cell r="DR248">
            <v>0</v>
          </cell>
        </row>
        <row r="249">
          <cell r="DR249">
            <v>0</v>
          </cell>
        </row>
        <row r="250">
          <cell r="DR250">
            <v>0</v>
          </cell>
        </row>
        <row r="251">
          <cell r="DR251">
            <v>0</v>
          </cell>
        </row>
        <row r="252">
          <cell r="DR252">
            <v>0</v>
          </cell>
        </row>
        <row r="253">
          <cell r="DR253">
            <v>0</v>
          </cell>
        </row>
        <row r="254">
          <cell r="DR254">
            <v>0</v>
          </cell>
        </row>
        <row r="255">
          <cell r="DR255">
            <v>0</v>
          </cell>
        </row>
        <row r="256">
          <cell r="DR256">
            <v>0</v>
          </cell>
        </row>
        <row r="257">
          <cell r="DR257">
            <v>0</v>
          </cell>
        </row>
        <row r="258">
          <cell r="DR258">
            <v>0</v>
          </cell>
        </row>
        <row r="259">
          <cell r="DR259">
            <v>0</v>
          </cell>
        </row>
        <row r="260">
          <cell r="DR260">
            <v>0</v>
          </cell>
        </row>
        <row r="261">
          <cell r="DR261">
            <v>0</v>
          </cell>
        </row>
        <row r="262">
          <cell r="DR262">
            <v>0</v>
          </cell>
        </row>
        <row r="263">
          <cell r="DR263">
            <v>0</v>
          </cell>
        </row>
        <row r="264">
          <cell r="DR264">
            <v>0</v>
          </cell>
        </row>
        <row r="265">
          <cell r="DR265">
            <v>0</v>
          </cell>
        </row>
        <row r="266"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DR270">
            <v>0</v>
          </cell>
        </row>
        <row r="271">
          <cell r="DR271">
            <v>0</v>
          </cell>
        </row>
        <row r="272">
          <cell r="DR272">
            <v>0</v>
          </cell>
        </row>
        <row r="273">
          <cell r="DR273">
            <v>0</v>
          </cell>
        </row>
        <row r="274">
          <cell r="DR274">
            <v>0</v>
          </cell>
        </row>
        <row r="275">
          <cell r="DR275">
            <v>0</v>
          </cell>
        </row>
        <row r="276">
          <cell r="DR276">
            <v>0</v>
          </cell>
        </row>
        <row r="277">
          <cell r="DR277">
            <v>0</v>
          </cell>
        </row>
        <row r="278">
          <cell r="DR278">
            <v>0</v>
          </cell>
        </row>
        <row r="279">
          <cell r="DR279">
            <v>0</v>
          </cell>
        </row>
        <row r="280">
          <cell r="DR280">
            <v>0</v>
          </cell>
        </row>
        <row r="281">
          <cell r="DR281">
            <v>0</v>
          </cell>
        </row>
        <row r="282">
          <cell r="DR282">
            <v>0</v>
          </cell>
        </row>
        <row r="283">
          <cell r="DR283">
            <v>0</v>
          </cell>
        </row>
        <row r="284">
          <cell r="DR284">
            <v>0</v>
          </cell>
        </row>
        <row r="285">
          <cell r="DR285">
            <v>0</v>
          </cell>
        </row>
        <row r="286">
          <cell r="DR286">
            <v>0</v>
          </cell>
        </row>
        <row r="287">
          <cell r="DR287">
            <v>0</v>
          </cell>
        </row>
        <row r="288">
          <cell r="DR288">
            <v>0</v>
          </cell>
        </row>
        <row r="289">
          <cell r="DR289">
            <v>0</v>
          </cell>
        </row>
        <row r="290">
          <cell r="DR290">
            <v>0</v>
          </cell>
        </row>
        <row r="291">
          <cell r="DR291">
            <v>0</v>
          </cell>
        </row>
        <row r="292">
          <cell r="DR292">
            <v>0</v>
          </cell>
        </row>
        <row r="293">
          <cell r="DR293">
            <v>0</v>
          </cell>
        </row>
        <row r="294">
          <cell r="DR294">
            <v>0</v>
          </cell>
        </row>
        <row r="295">
          <cell r="DR295">
            <v>0</v>
          </cell>
        </row>
        <row r="296">
          <cell r="DR296">
            <v>0</v>
          </cell>
        </row>
        <row r="297">
          <cell r="DR297">
            <v>0</v>
          </cell>
        </row>
        <row r="298">
          <cell r="DR298">
            <v>0</v>
          </cell>
        </row>
        <row r="299">
          <cell r="DR299">
            <v>0</v>
          </cell>
        </row>
        <row r="300">
          <cell r="DR300">
            <v>0</v>
          </cell>
        </row>
        <row r="301">
          <cell r="DR301">
            <v>0</v>
          </cell>
        </row>
        <row r="302">
          <cell r="DR302">
            <v>0</v>
          </cell>
        </row>
        <row r="303">
          <cell r="DR303">
            <v>0</v>
          </cell>
        </row>
        <row r="304">
          <cell r="DR304">
            <v>0</v>
          </cell>
        </row>
        <row r="305">
          <cell r="DR305">
            <v>0</v>
          </cell>
        </row>
        <row r="306">
          <cell r="DR306">
            <v>0</v>
          </cell>
        </row>
        <row r="307">
          <cell r="DR307">
            <v>0</v>
          </cell>
        </row>
        <row r="308">
          <cell r="DR308">
            <v>0</v>
          </cell>
        </row>
        <row r="309">
          <cell r="DR309">
            <v>0</v>
          </cell>
        </row>
        <row r="310">
          <cell r="DR310">
            <v>0</v>
          </cell>
        </row>
        <row r="311">
          <cell r="DR311">
            <v>0</v>
          </cell>
        </row>
        <row r="312">
          <cell r="DR312">
            <v>0</v>
          </cell>
        </row>
        <row r="313">
          <cell r="DR313">
            <v>0</v>
          </cell>
        </row>
        <row r="314">
          <cell r="DR314">
            <v>0</v>
          </cell>
        </row>
        <row r="315">
          <cell r="DR315">
            <v>0</v>
          </cell>
        </row>
        <row r="316">
          <cell r="DR316">
            <v>0</v>
          </cell>
        </row>
        <row r="317">
          <cell r="DR317">
            <v>0</v>
          </cell>
        </row>
        <row r="318">
          <cell r="DR318">
            <v>0</v>
          </cell>
        </row>
        <row r="319">
          <cell r="DR319">
            <v>0</v>
          </cell>
        </row>
        <row r="320">
          <cell r="DR320">
            <v>0</v>
          </cell>
        </row>
        <row r="321">
          <cell r="DR321">
            <v>0</v>
          </cell>
        </row>
        <row r="322">
          <cell r="DR322">
            <v>0</v>
          </cell>
        </row>
        <row r="323">
          <cell r="DR323">
            <v>0</v>
          </cell>
        </row>
        <row r="324">
          <cell r="DR324">
            <v>0</v>
          </cell>
        </row>
        <row r="325">
          <cell r="DR325">
            <v>0</v>
          </cell>
        </row>
        <row r="326">
          <cell r="DR326">
            <v>0</v>
          </cell>
        </row>
        <row r="327">
          <cell r="DR327">
            <v>0</v>
          </cell>
        </row>
        <row r="328">
          <cell r="DR328">
            <v>0</v>
          </cell>
        </row>
        <row r="329">
          <cell r="DR329">
            <v>0</v>
          </cell>
        </row>
        <row r="330">
          <cell r="DR330">
            <v>0</v>
          </cell>
        </row>
        <row r="331">
          <cell r="DR331">
            <v>0</v>
          </cell>
        </row>
        <row r="332">
          <cell r="DR332">
            <v>0</v>
          </cell>
        </row>
        <row r="333">
          <cell r="DR333">
            <v>0</v>
          </cell>
        </row>
        <row r="334">
          <cell r="DR334">
            <v>0</v>
          </cell>
        </row>
        <row r="335">
          <cell r="DR335">
            <v>0</v>
          </cell>
        </row>
        <row r="336">
          <cell r="DR336">
            <v>0</v>
          </cell>
        </row>
        <row r="337">
          <cell r="DR337">
            <v>0</v>
          </cell>
        </row>
        <row r="338">
          <cell r="DR338">
            <v>0</v>
          </cell>
        </row>
        <row r="339">
          <cell r="DR339">
            <v>0</v>
          </cell>
        </row>
        <row r="340">
          <cell r="DR340">
            <v>0</v>
          </cell>
        </row>
        <row r="341">
          <cell r="DR341">
            <v>0</v>
          </cell>
        </row>
        <row r="342">
          <cell r="DR342">
            <v>0</v>
          </cell>
        </row>
        <row r="343">
          <cell r="DR343">
            <v>0</v>
          </cell>
        </row>
        <row r="344">
          <cell r="DR344">
            <v>0</v>
          </cell>
        </row>
        <row r="345">
          <cell r="DR345">
            <v>0</v>
          </cell>
        </row>
        <row r="346">
          <cell r="DR346">
            <v>0</v>
          </cell>
        </row>
        <row r="347">
          <cell r="DR347">
            <v>0</v>
          </cell>
        </row>
        <row r="348">
          <cell r="DR348">
            <v>0</v>
          </cell>
        </row>
        <row r="349">
          <cell r="DR349">
            <v>0</v>
          </cell>
        </row>
        <row r="350">
          <cell r="DR350">
            <v>0</v>
          </cell>
        </row>
        <row r="351">
          <cell r="DR351">
            <v>0</v>
          </cell>
        </row>
        <row r="352">
          <cell r="DR352">
            <v>0</v>
          </cell>
        </row>
        <row r="353">
          <cell r="DR353">
            <v>0</v>
          </cell>
        </row>
        <row r="354">
          <cell r="DR354">
            <v>0</v>
          </cell>
        </row>
        <row r="355">
          <cell r="DR355">
            <v>0</v>
          </cell>
        </row>
        <row r="356">
          <cell r="DR356">
            <v>2426121.3689968698</v>
          </cell>
        </row>
        <row r="357">
          <cell r="DR357">
            <v>0</v>
          </cell>
        </row>
        <row r="358">
          <cell r="DR358">
            <v>38799706.312690876</v>
          </cell>
        </row>
        <row r="359">
          <cell r="DR359">
            <v>0</v>
          </cell>
        </row>
        <row r="360">
          <cell r="DR360">
            <v>4218330.5714127617</v>
          </cell>
        </row>
        <row r="361">
          <cell r="DR361">
            <v>444540.22666089085</v>
          </cell>
        </row>
        <row r="362">
          <cell r="DR362">
            <v>0</v>
          </cell>
        </row>
        <row r="363">
          <cell r="DR363">
            <v>0</v>
          </cell>
        </row>
        <row r="364">
          <cell r="DR364">
            <v>0</v>
          </cell>
        </row>
        <row r="365">
          <cell r="DR365">
            <v>42143442.332349062</v>
          </cell>
        </row>
        <row r="366">
          <cell r="DR366">
            <v>1279828.174027896</v>
          </cell>
        </row>
        <row r="367">
          <cell r="DR367">
            <v>31190515.718856461</v>
          </cell>
        </row>
        <row r="368">
          <cell r="DR368">
            <v>6310927.9389129002</v>
          </cell>
        </row>
        <row r="369">
          <cell r="DR369">
            <v>11040375.00892755</v>
          </cell>
        </row>
        <row r="370">
          <cell r="DR370">
            <v>1402253.544297342</v>
          </cell>
        </row>
        <row r="371">
          <cell r="DR371">
            <v>0</v>
          </cell>
        </row>
        <row r="372">
          <cell r="DR372">
            <v>0</v>
          </cell>
        </row>
        <row r="373">
          <cell r="DR373">
            <v>0</v>
          </cell>
        </row>
        <row r="374">
          <cell r="DR374">
            <v>0</v>
          </cell>
        </row>
        <row r="375">
          <cell r="DR375">
            <v>0</v>
          </cell>
        </row>
        <row r="376">
          <cell r="DR376">
            <v>0</v>
          </cell>
        </row>
        <row r="377">
          <cell r="DR377">
            <v>0</v>
          </cell>
        </row>
        <row r="378">
          <cell r="DR378">
            <v>0</v>
          </cell>
        </row>
        <row r="379">
          <cell r="DR379">
            <v>0</v>
          </cell>
        </row>
        <row r="380">
          <cell r="DR380">
            <v>0</v>
          </cell>
        </row>
        <row r="381">
          <cell r="DR381">
            <v>0</v>
          </cell>
        </row>
        <row r="382">
          <cell r="DR382">
            <v>0</v>
          </cell>
        </row>
        <row r="383">
          <cell r="DR383">
            <v>0</v>
          </cell>
        </row>
        <row r="384">
          <cell r="DR384">
            <v>0</v>
          </cell>
        </row>
        <row r="385">
          <cell r="DR385">
            <v>0</v>
          </cell>
        </row>
        <row r="386">
          <cell r="DR386">
            <v>0</v>
          </cell>
        </row>
        <row r="387">
          <cell r="DR387">
            <v>0</v>
          </cell>
        </row>
        <row r="388">
          <cell r="DR388">
            <v>0</v>
          </cell>
        </row>
        <row r="389">
          <cell r="DR389">
            <v>0</v>
          </cell>
        </row>
        <row r="390">
          <cell r="DR390">
            <v>0</v>
          </cell>
        </row>
        <row r="391">
          <cell r="DR391">
            <v>0</v>
          </cell>
        </row>
        <row r="392">
          <cell r="DR392">
            <v>0</v>
          </cell>
        </row>
        <row r="393">
          <cell r="DR393">
            <v>0</v>
          </cell>
        </row>
        <row r="394">
          <cell r="DR394">
            <v>0</v>
          </cell>
        </row>
        <row r="395">
          <cell r="DR395">
            <v>0</v>
          </cell>
        </row>
        <row r="396">
          <cell r="DR396">
            <v>0</v>
          </cell>
        </row>
        <row r="397">
          <cell r="DR397">
            <v>0</v>
          </cell>
        </row>
        <row r="398">
          <cell r="DR398">
            <v>0</v>
          </cell>
        </row>
        <row r="399">
          <cell r="DR399">
            <v>0</v>
          </cell>
        </row>
        <row r="400">
          <cell r="DR400">
            <v>0</v>
          </cell>
        </row>
        <row r="401">
          <cell r="DR401">
            <v>0</v>
          </cell>
        </row>
        <row r="402">
          <cell r="DR402">
            <v>0</v>
          </cell>
        </row>
        <row r="403">
          <cell r="DR403">
            <v>0</v>
          </cell>
        </row>
        <row r="404">
          <cell r="DR404">
            <v>0</v>
          </cell>
        </row>
        <row r="405">
          <cell r="DR405">
            <v>0</v>
          </cell>
        </row>
        <row r="406">
          <cell r="DR406">
            <v>0</v>
          </cell>
        </row>
        <row r="407">
          <cell r="DR407">
            <v>0</v>
          </cell>
        </row>
        <row r="408">
          <cell r="DR408">
            <v>0</v>
          </cell>
        </row>
        <row r="409">
          <cell r="DR409">
            <v>0</v>
          </cell>
        </row>
        <row r="410">
          <cell r="DR410">
            <v>0</v>
          </cell>
        </row>
        <row r="411">
          <cell r="DR411">
            <v>0</v>
          </cell>
        </row>
        <row r="412">
          <cell r="DR412">
            <v>0</v>
          </cell>
        </row>
        <row r="413">
          <cell r="DR413">
            <v>0</v>
          </cell>
        </row>
        <row r="414">
          <cell r="DR414">
            <v>612395.50057880615</v>
          </cell>
        </row>
        <row r="415">
          <cell r="DR415">
            <v>0</v>
          </cell>
        </row>
        <row r="416">
          <cell r="DR416">
            <v>0</v>
          </cell>
        </row>
        <row r="417">
          <cell r="DR417">
            <v>0</v>
          </cell>
        </row>
        <row r="418">
          <cell r="DR418">
            <v>0</v>
          </cell>
        </row>
        <row r="419">
          <cell r="DR419">
            <v>0</v>
          </cell>
        </row>
        <row r="420">
          <cell r="DR420">
            <v>0</v>
          </cell>
        </row>
        <row r="421">
          <cell r="DR421">
            <v>0</v>
          </cell>
        </row>
        <row r="422">
          <cell r="DR422">
            <v>2426121.3689968698</v>
          </cell>
        </row>
        <row r="423">
          <cell r="DR423">
            <v>0</v>
          </cell>
        </row>
        <row r="424">
          <cell r="DR424">
            <v>0</v>
          </cell>
        </row>
        <row r="425">
          <cell r="DR425">
            <v>0</v>
          </cell>
        </row>
        <row r="426">
          <cell r="DR426">
            <v>0</v>
          </cell>
        </row>
        <row r="427">
          <cell r="DR427">
            <v>0</v>
          </cell>
        </row>
        <row r="428">
          <cell r="DR428">
            <v>0</v>
          </cell>
        </row>
        <row r="429">
          <cell r="DR429">
            <v>0</v>
          </cell>
        </row>
        <row r="430">
          <cell r="DR430">
            <v>0</v>
          </cell>
        </row>
        <row r="431">
          <cell r="DR431">
            <v>639659.33735778625</v>
          </cell>
        </row>
        <row r="432">
          <cell r="DR432">
            <v>0</v>
          </cell>
        </row>
        <row r="433">
          <cell r="DR433">
            <v>0</v>
          </cell>
        </row>
        <row r="434">
          <cell r="DR434">
            <v>0</v>
          </cell>
        </row>
        <row r="435">
          <cell r="DR435">
            <v>634164.0233221472</v>
          </cell>
        </row>
        <row r="436">
          <cell r="DR436">
            <v>0</v>
          </cell>
        </row>
        <row r="437">
          <cell r="DR437">
            <v>0</v>
          </cell>
        </row>
        <row r="438">
          <cell r="DR438">
            <v>0</v>
          </cell>
        </row>
        <row r="439">
          <cell r="DR439">
            <v>0</v>
          </cell>
        </row>
        <row r="440">
          <cell r="DR440">
            <v>0</v>
          </cell>
        </row>
        <row r="441">
          <cell r="DR441">
            <v>0</v>
          </cell>
        </row>
        <row r="442">
          <cell r="DR442">
            <v>0</v>
          </cell>
        </row>
        <row r="443">
          <cell r="DR443">
            <v>0</v>
          </cell>
        </row>
        <row r="444">
          <cell r="DR444">
            <v>0</v>
          </cell>
        </row>
        <row r="445">
          <cell r="DR445">
            <v>0</v>
          </cell>
        </row>
        <row r="446">
          <cell r="DR446">
            <v>0</v>
          </cell>
        </row>
        <row r="447">
          <cell r="DR447">
            <v>0</v>
          </cell>
        </row>
        <row r="448">
          <cell r="DR448">
            <v>0</v>
          </cell>
        </row>
        <row r="449">
          <cell r="DR449">
            <v>0</v>
          </cell>
        </row>
        <row r="450">
          <cell r="DR450">
            <v>0</v>
          </cell>
        </row>
        <row r="451">
          <cell r="DR451">
            <v>0</v>
          </cell>
        </row>
        <row r="452">
          <cell r="DR452">
            <v>0</v>
          </cell>
        </row>
        <row r="453">
          <cell r="DR453">
            <v>0</v>
          </cell>
        </row>
        <row r="454">
          <cell r="DR454">
            <v>0</v>
          </cell>
        </row>
        <row r="455">
          <cell r="DR455">
            <v>0</v>
          </cell>
        </row>
        <row r="456">
          <cell r="DR456">
            <v>0</v>
          </cell>
        </row>
        <row r="457">
          <cell r="DR457">
            <v>0</v>
          </cell>
        </row>
        <row r="458">
          <cell r="DR458">
            <v>0</v>
          </cell>
        </row>
        <row r="459">
          <cell r="DR459">
            <v>0</v>
          </cell>
        </row>
        <row r="460">
          <cell r="DR460">
            <v>0</v>
          </cell>
        </row>
        <row r="461">
          <cell r="DR461">
            <v>0</v>
          </cell>
        </row>
        <row r="462">
          <cell r="DR462">
            <v>0</v>
          </cell>
        </row>
        <row r="463">
          <cell r="DR463">
            <v>0</v>
          </cell>
        </row>
        <row r="464">
          <cell r="DR464">
            <v>0</v>
          </cell>
        </row>
        <row r="465">
          <cell r="DR465">
            <v>0</v>
          </cell>
        </row>
        <row r="466">
          <cell r="DR466">
            <v>0</v>
          </cell>
        </row>
        <row r="467">
          <cell r="DR467">
            <v>0</v>
          </cell>
        </row>
        <row r="468">
          <cell r="DR468">
            <v>0</v>
          </cell>
        </row>
        <row r="469">
          <cell r="DR469">
            <v>0</v>
          </cell>
        </row>
        <row r="470">
          <cell r="DR470">
            <v>0</v>
          </cell>
        </row>
        <row r="471">
          <cell r="DR471">
            <v>0</v>
          </cell>
        </row>
        <row r="472">
          <cell r="DR472">
            <v>0</v>
          </cell>
        </row>
        <row r="473">
          <cell r="DR473">
            <v>0</v>
          </cell>
        </row>
        <row r="474">
          <cell r="DR474">
            <v>0</v>
          </cell>
        </row>
        <row r="475">
          <cell r="DR475">
            <v>0</v>
          </cell>
        </row>
        <row r="476">
          <cell r="DR476">
            <v>0</v>
          </cell>
        </row>
        <row r="477">
          <cell r="DR477">
            <v>0</v>
          </cell>
        </row>
        <row r="478">
          <cell r="DR478">
            <v>0</v>
          </cell>
        </row>
        <row r="479">
          <cell r="DR479">
            <v>0</v>
          </cell>
        </row>
        <row r="480">
          <cell r="DR480">
            <v>0</v>
          </cell>
        </row>
        <row r="481">
          <cell r="DR481">
            <v>0</v>
          </cell>
        </row>
        <row r="482">
          <cell r="DR482">
            <v>0</v>
          </cell>
        </row>
        <row r="483">
          <cell r="DR483">
            <v>0</v>
          </cell>
        </row>
        <row r="484">
          <cell r="DR484">
            <v>0</v>
          </cell>
        </row>
        <row r="485">
          <cell r="DR485">
            <v>0</v>
          </cell>
        </row>
        <row r="486">
          <cell r="DR486">
            <v>3820503.9380150954</v>
          </cell>
        </row>
        <row r="487">
          <cell r="DR487">
            <v>0</v>
          </cell>
        </row>
        <row r="488">
          <cell r="DR488">
            <v>11672118.124268349</v>
          </cell>
        </row>
        <row r="489">
          <cell r="DR489">
            <v>0</v>
          </cell>
        </row>
        <row r="490">
          <cell r="DR490">
            <v>0</v>
          </cell>
        </row>
        <row r="491">
          <cell r="DR491">
            <v>0</v>
          </cell>
        </row>
        <row r="492">
          <cell r="DR492">
            <v>0</v>
          </cell>
        </row>
        <row r="493">
          <cell r="DR493">
            <v>0</v>
          </cell>
        </row>
        <row r="494">
          <cell r="DR494">
            <v>0</v>
          </cell>
        </row>
        <row r="495">
          <cell r="DR495">
            <v>0</v>
          </cell>
        </row>
        <row r="496">
          <cell r="DR496">
            <v>0</v>
          </cell>
        </row>
        <row r="497">
          <cell r="DR497">
            <v>0</v>
          </cell>
        </row>
        <row r="498">
          <cell r="DR498">
            <v>0</v>
          </cell>
        </row>
        <row r="499">
          <cell r="DR499">
            <v>0</v>
          </cell>
        </row>
        <row r="500">
          <cell r="DR500">
            <v>0</v>
          </cell>
        </row>
        <row r="501">
          <cell r="DR501">
            <v>0</v>
          </cell>
        </row>
        <row r="502">
          <cell r="DR502">
            <v>0</v>
          </cell>
        </row>
        <row r="503">
          <cell r="DR503">
            <v>0</v>
          </cell>
        </row>
        <row r="504">
          <cell r="DR504">
            <v>0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>
        <row r="15">
          <cell r="DR15">
            <v>7073837.4864515197</v>
          </cell>
        </row>
        <row r="16">
          <cell r="DR16">
            <v>392944588.67104131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>
            <v>0</v>
          </cell>
        </row>
        <row r="20">
          <cell r="DR20">
            <v>7147124.9434511662</v>
          </cell>
        </row>
        <row r="21">
          <cell r="DR21">
            <v>33566416.158041984</v>
          </cell>
        </row>
        <row r="22">
          <cell r="DR22">
            <v>1611895.8273461936</v>
          </cell>
        </row>
        <row r="23">
          <cell r="DR23">
            <v>0</v>
          </cell>
        </row>
        <row r="24">
          <cell r="DR24">
            <v>0</v>
          </cell>
        </row>
        <row r="25">
          <cell r="DR25">
            <v>0</v>
          </cell>
        </row>
        <row r="26">
          <cell r="DR26">
            <v>171145658.89584208</v>
          </cell>
        </row>
        <row r="27">
          <cell r="DR27">
            <v>0</v>
          </cell>
        </row>
        <row r="28">
          <cell r="DR28">
            <v>0</v>
          </cell>
        </row>
        <row r="29">
          <cell r="DR29">
            <v>49096094.823816702</v>
          </cell>
        </row>
        <row r="30">
          <cell r="DR30">
            <v>0</v>
          </cell>
        </row>
        <row r="31">
          <cell r="DR31">
            <v>83444182.243504569</v>
          </cell>
        </row>
        <row r="32">
          <cell r="DR32">
            <v>0</v>
          </cell>
        </row>
        <row r="33">
          <cell r="DR33">
            <v>44797209.684213921</v>
          </cell>
        </row>
        <row r="34">
          <cell r="DR34">
            <v>230080647.76457581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16656867.850673551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>
            <v>0</v>
          </cell>
        </row>
        <row r="43">
          <cell r="DR43">
            <v>58082970.644215256</v>
          </cell>
        </row>
        <row r="44">
          <cell r="DR44">
            <v>0</v>
          </cell>
        </row>
        <row r="45">
          <cell r="DR45">
            <v>31322277.738503456</v>
          </cell>
        </row>
        <row r="46">
          <cell r="DR46">
            <v>0</v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>
            <v>0</v>
          </cell>
        </row>
        <row r="51">
          <cell r="DR51">
            <v>0</v>
          </cell>
        </row>
        <row r="52">
          <cell r="DR52">
            <v>0</v>
          </cell>
        </row>
        <row r="53">
          <cell r="DR53">
            <v>4319655.5944314068</v>
          </cell>
        </row>
        <row r="54">
          <cell r="DR54">
            <v>0</v>
          </cell>
        </row>
        <row r="55">
          <cell r="DR55">
            <v>0</v>
          </cell>
        </row>
        <row r="56">
          <cell r="DR56">
            <v>0</v>
          </cell>
        </row>
        <row r="57">
          <cell r="DR57">
            <v>0</v>
          </cell>
        </row>
        <row r="58">
          <cell r="DR58">
            <v>0</v>
          </cell>
        </row>
        <row r="59">
          <cell r="DR59">
            <v>0</v>
          </cell>
        </row>
        <row r="60">
          <cell r="DR60">
            <v>0</v>
          </cell>
        </row>
        <row r="61">
          <cell r="DR61">
            <v>0</v>
          </cell>
        </row>
        <row r="62">
          <cell r="DR62">
            <v>0</v>
          </cell>
        </row>
        <row r="63">
          <cell r="DR63">
            <v>0</v>
          </cell>
        </row>
        <row r="64">
          <cell r="DR64">
            <v>0</v>
          </cell>
        </row>
        <row r="65">
          <cell r="DR65">
            <v>0</v>
          </cell>
        </row>
        <row r="66">
          <cell r="DR66">
            <v>0</v>
          </cell>
        </row>
        <row r="67">
          <cell r="DR67">
            <v>0</v>
          </cell>
        </row>
        <row r="68">
          <cell r="DR68">
            <v>0</v>
          </cell>
        </row>
        <row r="69">
          <cell r="DR69">
            <v>0</v>
          </cell>
        </row>
        <row r="70">
          <cell r="DR70">
            <v>0</v>
          </cell>
        </row>
        <row r="71">
          <cell r="DR71">
            <v>0</v>
          </cell>
        </row>
        <row r="72">
          <cell r="DR72">
            <v>0</v>
          </cell>
        </row>
        <row r="73">
          <cell r="DR73">
            <v>0</v>
          </cell>
        </row>
        <row r="74">
          <cell r="DR74">
            <v>0</v>
          </cell>
        </row>
        <row r="75">
          <cell r="DR75">
            <v>0</v>
          </cell>
        </row>
        <row r="76">
          <cell r="DR76">
            <v>0</v>
          </cell>
        </row>
        <row r="77">
          <cell r="DR77">
            <v>0</v>
          </cell>
        </row>
        <row r="78">
          <cell r="DR78">
            <v>0</v>
          </cell>
        </row>
        <row r="79">
          <cell r="DR79">
            <v>0</v>
          </cell>
        </row>
        <row r="80">
          <cell r="DR80">
            <v>0</v>
          </cell>
        </row>
        <row r="81">
          <cell r="DR81">
            <v>0</v>
          </cell>
        </row>
        <row r="82">
          <cell r="DR82">
            <v>0</v>
          </cell>
        </row>
        <row r="83">
          <cell r="DR83">
            <v>0</v>
          </cell>
        </row>
        <row r="84">
          <cell r="DR84">
            <v>0</v>
          </cell>
        </row>
        <row r="85">
          <cell r="DR85">
            <v>0</v>
          </cell>
        </row>
        <row r="86">
          <cell r="DR86">
            <v>0</v>
          </cell>
        </row>
        <row r="87">
          <cell r="DR87">
            <v>0</v>
          </cell>
        </row>
        <row r="88">
          <cell r="DR88">
            <v>0</v>
          </cell>
        </row>
        <row r="89">
          <cell r="DR89">
            <v>0</v>
          </cell>
        </row>
        <row r="90">
          <cell r="DR90">
            <v>0</v>
          </cell>
        </row>
        <row r="91">
          <cell r="DR91">
            <v>0</v>
          </cell>
        </row>
        <row r="92">
          <cell r="DR92">
            <v>0</v>
          </cell>
        </row>
        <row r="93">
          <cell r="DR93">
            <v>0</v>
          </cell>
        </row>
        <row r="94">
          <cell r="DR94">
            <v>0</v>
          </cell>
        </row>
        <row r="95">
          <cell r="DR95">
            <v>0</v>
          </cell>
        </row>
        <row r="96">
          <cell r="DR96">
            <v>0</v>
          </cell>
        </row>
        <row r="97">
          <cell r="DR97">
            <v>0</v>
          </cell>
        </row>
        <row r="98">
          <cell r="DR98">
            <v>0</v>
          </cell>
        </row>
        <row r="99">
          <cell r="DR99">
            <v>0</v>
          </cell>
        </row>
        <row r="100">
          <cell r="DR100">
            <v>0</v>
          </cell>
        </row>
        <row r="101">
          <cell r="DR101">
            <v>0</v>
          </cell>
        </row>
        <row r="102">
          <cell r="DR102">
            <v>0</v>
          </cell>
        </row>
        <row r="103">
          <cell r="DR103">
            <v>0</v>
          </cell>
        </row>
        <row r="104">
          <cell r="DR104">
            <v>0</v>
          </cell>
        </row>
        <row r="105">
          <cell r="DR105">
            <v>0</v>
          </cell>
        </row>
        <row r="106">
          <cell r="DR106">
            <v>0</v>
          </cell>
        </row>
        <row r="107">
          <cell r="DR107">
            <v>0</v>
          </cell>
        </row>
        <row r="108">
          <cell r="DR108">
            <v>0</v>
          </cell>
        </row>
        <row r="109">
          <cell r="DR109">
            <v>0</v>
          </cell>
        </row>
        <row r="110">
          <cell r="DR110">
            <v>0</v>
          </cell>
        </row>
        <row r="111">
          <cell r="DR111">
            <v>0</v>
          </cell>
        </row>
        <row r="112">
          <cell r="DR112">
            <v>0</v>
          </cell>
        </row>
        <row r="113">
          <cell r="DR113">
            <v>0</v>
          </cell>
        </row>
        <row r="114">
          <cell r="DR114">
            <v>0</v>
          </cell>
        </row>
        <row r="115">
          <cell r="DR115">
            <v>0</v>
          </cell>
        </row>
        <row r="116">
          <cell r="DR116">
            <v>0</v>
          </cell>
        </row>
        <row r="117">
          <cell r="DR117">
            <v>0</v>
          </cell>
        </row>
        <row r="118">
          <cell r="DR118">
            <v>0</v>
          </cell>
        </row>
        <row r="119">
          <cell r="DR119">
            <v>0</v>
          </cell>
        </row>
        <row r="120">
          <cell r="DR120">
            <v>0</v>
          </cell>
        </row>
        <row r="121">
          <cell r="DR121">
            <v>0</v>
          </cell>
        </row>
        <row r="122">
          <cell r="DR122">
            <v>0</v>
          </cell>
        </row>
        <row r="123">
          <cell r="DR123">
            <v>0</v>
          </cell>
        </row>
        <row r="124">
          <cell r="DR124">
            <v>0</v>
          </cell>
        </row>
        <row r="125">
          <cell r="DR125">
            <v>0</v>
          </cell>
        </row>
        <row r="126">
          <cell r="DR126">
            <v>0</v>
          </cell>
        </row>
        <row r="127">
          <cell r="DR127">
            <v>0</v>
          </cell>
        </row>
        <row r="128">
          <cell r="DR128">
            <v>0</v>
          </cell>
        </row>
        <row r="129">
          <cell r="DR129">
            <v>0</v>
          </cell>
        </row>
        <row r="130">
          <cell r="DR130">
            <v>0</v>
          </cell>
        </row>
        <row r="131">
          <cell r="DR131">
            <v>0</v>
          </cell>
        </row>
        <row r="132">
          <cell r="DR132">
            <v>0</v>
          </cell>
        </row>
        <row r="133">
          <cell r="DR133">
            <v>0</v>
          </cell>
        </row>
        <row r="134">
          <cell r="DR134">
            <v>0</v>
          </cell>
        </row>
        <row r="135">
          <cell r="DR135">
            <v>0</v>
          </cell>
        </row>
        <row r="136">
          <cell r="DR136">
            <v>0</v>
          </cell>
        </row>
        <row r="137">
          <cell r="DR137">
            <v>0</v>
          </cell>
        </row>
        <row r="138">
          <cell r="DR138">
            <v>0</v>
          </cell>
        </row>
        <row r="139">
          <cell r="DR139">
            <v>0</v>
          </cell>
        </row>
        <row r="140">
          <cell r="DR140">
            <v>0</v>
          </cell>
        </row>
        <row r="141">
          <cell r="DR141">
            <v>0</v>
          </cell>
        </row>
        <row r="142">
          <cell r="DR142">
            <v>0</v>
          </cell>
        </row>
        <row r="143">
          <cell r="DR143">
            <v>0</v>
          </cell>
        </row>
        <row r="144">
          <cell r="DR144">
            <v>0</v>
          </cell>
        </row>
        <row r="145">
          <cell r="DR145">
            <v>0</v>
          </cell>
        </row>
        <row r="146">
          <cell r="DR146">
            <v>0</v>
          </cell>
        </row>
        <row r="147">
          <cell r="DR147">
            <v>0</v>
          </cell>
        </row>
        <row r="148">
          <cell r="DR148">
            <v>0</v>
          </cell>
        </row>
        <row r="149">
          <cell r="DR149">
            <v>0</v>
          </cell>
        </row>
        <row r="150">
          <cell r="DR150">
            <v>0</v>
          </cell>
        </row>
        <row r="151">
          <cell r="DR151">
            <v>0</v>
          </cell>
        </row>
        <row r="152">
          <cell r="DR152">
            <v>0</v>
          </cell>
        </row>
        <row r="153">
          <cell r="DR153">
            <v>0</v>
          </cell>
        </row>
        <row r="154">
          <cell r="DR154">
            <v>0</v>
          </cell>
        </row>
        <row r="155">
          <cell r="DR155">
            <v>0</v>
          </cell>
        </row>
        <row r="156">
          <cell r="DR156">
            <v>0</v>
          </cell>
        </row>
        <row r="157">
          <cell r="DR157">
            <v>0</v>
          </cell>
        </row>
        <row r="158">
          <cell r="DR158">
            <v>0</v>
          </cell>
        </row>
        <row r="159">
          <cell r="DR159">
            <v>0</v>
          </cell>
        </row>
        <row r="160">
          <cell r="DR160">
            <v>0</v>
          </cell>
        </row>
        <row r="161">
          <cell r="DR161">
            <v>0</v>
          </cell>
        </row>
        <row r="162">
          <cell r="DR162">
            <v>0</v>
          </cell>
        </row>
        <row r="163">
          <cell r="DR163">
            <v>0</v>
          </cell>
        </row>
        <row r="164">
          <cell r="DR164">
            <v>0</v>
          </cell>
        </row>
        <row r="165">
          <cell r="DR165">
            <v>0</v>
          </cell>
        </row>
        <row r="166">
          <cell r="DR166">
            <v>0</v>
          </cell>
        </row>
        <row r="167">
          <cell r="DR167">
            <v>0</v>
          </cell>
        </row>
        <row r="168">
          <cell r="DR168">
            <v>0</v>
          </cell>
        </row>
        <row r="169">
          <cell r="DR169">
            <v>0</v>
          </cell>
        </row>
        <row r="170">
          <cell r="DR170">
            <v>0</v>
          </cell>
        </row>
        <row r="171">
          <cell r="DR171">
            <v>0</v>
          </cell>
        </row>
        <row r="172">
          <cell r="DR172">
            <v>0</v>
          </cell>
        </row>
        <row r="173">
          <cell r="DR173">
            <v>0</v>
          </cell>
        </row>
        <row r="174">
          <cell r="DR174">
            <v>0</v>
          </cell>
        </row>
        <row r="175">
          <cell r="DR175">
            <v>0</v>
          </cell>
        </row>
        <row r="176">
          <cell r="DR176">
            <v>0</v>
          </cell>
        </row>
        <row r="177">
          <cell r="DR177">
            <v>0</v>
          </cell>
        </row>
        <row r="178">
          <cell r="DR178">
            <v>0</v>
          </cell>
        </row>
        <row r="179">
          <cell r="DR179">
            <v>0</v>
          </cell>
        </row>
        <row r="180">
          <cell r="DR180">
            <v>0</v>
          </cell>
        </row>
        <row r="181">
          <cell r="DR181">
            <v>0</v>
          </cell>
        </row>
        <row r="182">
          <cell r="DR182">
            <v>0</v>
          </cell>
        </row>
        <row r="183">
          <cell r="DR183">
            <v>0</v>
          </cell>
        </row>
        <row r="184">
          <cell r="DR184">
            <v>0</v>
          </cell>
        </row>
        <row r="185">
          <cell r="DR185">
            <v>0</v>
          </cell>
        </row>
        <row r="186">
          <cell r="DR186">
            <v>0</v>
          </cell>
        </row>
        <row r="187">
          <cell r="DR187">
            <v>0</v>
          </cell>
        </row>
        <row r="188">
          <cell r="DR188">
            <v>0</v>
          </cell>
        </row>
        <row r="189">
          <cell r="DR189">
            <v>0</v>
          </cell>
        </row>
        <row r="190">
          <cell r="DR190">
            <v>1644068.3512807554</v>
          </cell>
        </row>
        <row r="191">
          <cell r="DR191">
            <v>0</v>
          </cell>
        </row>
        <row r="192">
          <cell r="DR192">
            <v>0</v>
          </cell>
        </row>
        <row r="193">
          <cell r="DR193">
            <v>0</v>
          </cell>
        </row>
        <row r="194">
          <cell r="DR194">
            <v>0</v>
          </cell>
        </row>
        <row r="195">
          <cell r="DR195">
            <v>0</v>
          </cell>
        </row>
        <row r="196">
          <cell r="DR196">
            <v>0</v>
          </cell>
        </row>
        <row r="197">
          <cell r="DR197">
            <v>0</v>
          </cell>
        </row>
        <row r="198">
          <cell r="DR198">
            <v>0</v>
          </cell>
        </row>
        <row r="199">
          <cell r="DR199">
            <v>0</v>
          </cell>
        </row>
        <row r="200">
          <cell r="DR200">
            <v>0</v>
          </cell>
        </row>
        <row r="201">
          <cell r="DR201">
            <v>0</v>
          </cell>
        </row>
        <row r="202">
          <cell r="DR202">
            <v>0</v>
          </cell>
        </row>
        <row r="203">
          <cell r="DR203">
            <v>0</v>
          </cell>
        </row>
        <row r="204">
          <cell r="DR204">
            <v>0</v>
          </cell>
        </row>
        <row r="205">
          <cell r="DR205">
            <v>0</v>
          </cell>
        </row>
        <row r="206">
          <cell r="DR206">
            <v>0</v>
          </cell>
        </row>
        <row r="207">
          <cell r="DR207">
            <v>0</v>
          </cell>
        </row>
        <row r="208">
          <cell r="DR208">
            <v>0</v>
          </cell>
        </row>
        <row r="209">
          <cell r="DR209">
            <v>0</v>
          </cell>
        </row>
        <row r="210">
          <cell r="DR210">
            <v>0</v>
          </cell>
        </row>
        <row r="211">
          <cell r="DR211">
            <v>0</v>
          </cell>
        </row>
        <row r="212">
          <cell r="DR212">
            <v>0</v>
          </cell>
        </row>
        <row r="213">
          <cell r="DR213">
            <v>0</v>
          </cell>
        </row>
        <row r="214">
          <cell r="DR214">
            <v>0</v>
          </cell>
        </row>
        <row r="215">
          <cell r="DR215">
            <v>0</v>
          </cell>
        </row>
        <row r="216">
          <cell r="DR216">
            <v>0</v>
          </cell>
        </row>
        <row r="217">
          <cell r="DR217">
            <v>0</v>
          </cell>
        </row>
        <row r="218">
          <cell r="DR218">
            <v>0</v>
          </cell>
        </row>
        <row r="219">
          <cell r="DR219">
            <v>0</v>
          </cell>
        </row>
        <row r="220">
          <cell r="DR220">
            <v>0</v>
          </cell>
        </row>
        <row r="221">
          <cell r="DR221">
            <v>0</v>
          </cell>
        </row>
        <row r="222">
          <cell r="DR222">
            <v>0</v>
          </cell>
        </row>
        <row r="223">
          <cell r="DR223">
            <v>0</v>
          </cell>
        </row>
        <row r="224">
          <cell r="DR224">
            <v>0</v>
          </cell>
        </row>
        <row r="225">
          <cell r="DR225">
            <v>0</v>
          </cell>
        </row>
        <row r="226">
          <cell r="DR226">
            <v>0</v>
          </cell>
        </row>
        <row r="227">
          <cell r="DR227">
            <v>0</v>
          </cell>
        </row>
        <row r="228">
          <cell r="DR228">
            <v>0</v>
          </cell>
        </row>
        <row r="229">
          <cell r="DR229">
            <v>0</v>
          </cell>
        </row>
        <row r="230">
          <cell r="DR230">
            <v>0</v>
          </cell>
        </row>
        <row r="231">
          <cell r="DR231">
            <v>0</v>
          </cell>
        </row>
        <row r="232">
          <cell r="DR232">
            <v>0</v>
          </cell>
        </row>
        <row r="233">
          <cell r="DR233">
            <v>0</v>
          </cell>
        </row>
        <row r="234">
          <cell r="DR234">
            <v>0</v>
          </cell>
        </row>
        <row r="235">
          <cell r="DR235">
            <v>0</v>
          </cell>
        </row>
        <row r="236">
          <cell r="DR236">
            <v>0</v>
          </cell>
        </row>
        <row r="237">
          <cell r="DR237">
            <v>0</v>
          </cell>
        </row>
        <row r="238">
          <cell r="DR238">
            <v>0</v>
          </cell>
        </row>
        <row r="239">
          <cell r="DR239">
            <v>0</v>
          </cell>
        </row>
        <row r="240">
          <cell r="DR240">
            <v>0</v>
          </cell>
        </row>
        <row r="241">
          <cell r="DR241">
            <v>0</v>
          </cell>
        </row>
        <row r="242">
          <cell r="DR242">
            <v>0</v>
          </cell>
        </row>
        <row r="243">
          <cell r="DR243">
            <v>0</v>
          </cell>
        </row>
        <row r="244">
          <cell r="DR244">
            <v>0</v>
          </cell>
        </row>
        <row r="245">
          <cell r="DR245">
            <v>0</v>
          </cell>
        </row>
        <row r="246">
          <cell r="DR246">
            <v>0</v>
          </cell>
        </row>
        <row r="247">
          <cell r="DR247">
            <v>0</v>
          </cell>
        </row>
        <row r="248">
          <cell r="DR248">
            <v>0</v>
          </cell>
        </row>
        <row r="249">
          <cell r="DR249">
            <v>0</v>
          </cell>
        </row>
        <row r="250">
          <cell r="DR250">
            <v>0</v>
          </cell>
        </row>
        <row r="251">
          <cell r="DR251">
            <v>0</v>
          </cell>
        </row>
        <row r="252">
          <cell r="DR252">
            <v>0</v>
          </cell>
        </row>
        <row r="253">
          <cell r="DR253">
            <v>0</v>
          </cell>
        </row>
        <row r="254">
          <cell r="DR254">
            <v>0</v>
          </cell>
        </row>
        <row r="255">
          <cell r="DR255">
            <v>0</v>
          </cell>
        </row>
        <row r="256">
          <cell r="DR256">
            <v>0</v>
          </cell>
        </row>
        <row r="257">
          <cell r="DR257">
            <v>0</v>
          </cell>
        </row>
        <row r="258">
          <cell r="DR258">
            <v>0</v>
          </cell>
        </row>
        <row r="259">
          <cell r="DR259">
            <v>0</v>
          </cell>
        </row>
        <row r="260">
          <cell r="DR260">
            <v>0</v>
          </cell>
        </row>
        <row r="261">
          <cell r="DR261">
            <v>0</v>
          </cell>
        </row>
        <row r="262">
          <cell r="DR262">
            <v>0</v>
          </cell>
        </row>
        <row r="263">
          <cell r="DR263">
            <v>0</v>
          </cell>
        </row>
        <row r="264">
          <cell r="DR264">
            <v>0</v>
          </cell>
        </row>
        <row r="265">
          <cell r="DR265">
            <v>0</v>
          </cell>
        </row>
        <row r="266"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DR270">
            <v>0</v>
          </cell>
        </row>
        <row r="271">
          <cell r="DR271">
            <v>0</v>
          </cell>
        </row>
        <row r="272">
          <cell r="DR272">
            <v>0</v>
          </cell>
        </row>
        <row r="273">
          <cell r="DR273">
            <v>0</v>
          </cell>
        </row>
        <row r="274">
          <cell r="DR274">
            <v>0</v>
          </cell>
        </row>
        <row r="275">
          <cell r="DR275">
            <v>0</v>
          </cell>
        </row>
        <row r="276">
          <cell r="DR276">
            <v>0</v>
          </cell>
        </row>
        <row r="277">
          <cell r="DR277">
            <v>0</v>
          </cell>
        </row>
        <row r="278">
          <cell r="DR278">
            <v>0</v>
          </cell>
        </row>
        <row r="279">
          <cell r="DR279">
            <v>0</v>
          </cell>
        </row>
        <row r="280">
          <cell r="DR280">
            <v>0</v>
          </cell>
        </row>
        <row r="281">
          <cell r="DR281">
            <v>0</v>
          </cell>
        </row>
        <row r="282">
          <cell r="DR282">
            <v>0</v>
          </cell>
        </row>
        <row r="283">
          <cell r="DR283">
            <v>0</v>
          </cell>
        </row>
        <row r="284">
          <cell r="DR284">
            <v>0</v>
          </cell>
        </row>
        <row r="285">
          <cell r="DR285">
            <v>0</v>
          </cell>
        </row>
        <row r="286">
          <cell r="DR286">
            <v>0</v>
          </cell>
        </row>
        <row r="287">
          <cell r="DR287">
            <v>0</v>
          </cell>
        </row>
        <row r="288">
          <cell r="DR288">
            <v>0</v>
          </cell>
        </row>
        <row r="289">
          <cell r="DR289">
            <v>0</v>
          </cell>
        </row>
        <row r="290">
          <cell r="DR290">
            <v>0</v>
          </cell>
        </row>
        <row r="291">
          <cell r="DR291">
            <v>0</v>
          </cell>
        </row>
        <row r="292">
          <cell r="DR292">
            <v>0</v>
          </cell>
        </row>
        <row r="293">
          <cell r="DR293">
            <v>0</v>
          </cell>
        </row>
        <row r="294">
          <cell r="DR294">
            <v>0</v>
          </cell>
        </row>
        <row r="295">
          <cell r="DR295">
            <v>0</v>
          </cell>
        </row>
        <row r="296">
          <cell r="DR296">
            <v>0</v>
          </cell>
        </row>
        <row r="297">
          <cell r="DR297">
            <v>0</v>
          </cell>
        </row>
        <row r="298">
          <cell r="DR298">
            <v>0</v>
          </cell>
        </row>
        <row r="299">
          <cell r="DR299">
            <v>0</v>
          </cell>
        </row>
        <row r="300">
          <cell r="DR300">
            <v>0</v>
          </cell>
        </row>
        <row r="301">
          <cell r="DR301">
            <v>0</v>
          </cell>
        </row>
        <row r="302">
          <cell r="DR302">
            <v>0</v>
          </cell>
        </row>
        <row r="303">
          <cell r="DR303">
            <v>0</v>
          </cell>
        </row>
        <row r="304">
          <cell r="DR304">
            <v>0</v>
          </cell>
        </row>
        <row r="305">
          <cell r="DR305">
            <v>0</v>
          </cell>
        </row>
        <row r="306">
          <cell r="DR306">
            <v>0</v>
          </cell>
        </row>
        <row r="307">
          <cell r="DR307">
            <v>0</v>
          </cell>
        </row>
        <row r="308">
          <cell r="DR308">
            <v>0</v>
          </cell>
        </row>
        <row r="309">
          <cell r="DR309">
            <v>0</v>
          </cell>
        </row>
        <row r="310">
          <cell r="DR310">
            <v>0</v>
          </cell>
        </row>
        <row r="311">
          <cell r="DR311">
            <v>0</v>
          </cell>
        </row>
        <row r="312">
          <cell r="DR312">
            <v>0</v>
          </cell>
        </row>
        <row r="313">
          <cell r="DR313">
            <v>0</v>
          </cell>
        </row>
        <row r="314">
          <cell r="DR314">
            <v>0</v>
          </cell>
        </row>
        <row r="315">
          <cell r="DR315">
            <v>0</v>
          </cell>
        </row>
        <row r="316">
          <cell r="DR316">
            <v>0</v>
          </cell>
        </row>
        <row r="317">
          <cell r="DR317">
            <v>0</v>
          </cell>
        </row>
        <row r="318">
          <cell r="DR318">
            <v>0</v>
          </cell>
        </row>
        <row r="319">
          <cell r="DR319">
            <v>0</v>
          </cell>
        </row>
        <row r="320">
          <cell r="DR320">
            <v>0</v>
          </cell>
        </row>
        <row r="321">
          <cell r="DR321">
            <v>0</v>
          </cell>
        </row>
        <row r="322">
          <cell r="DR322">
            <v>0</v>
          </cell>
        </row>
        <row r="323">
          <cell r="DR323">
            <v>0</v>
          </cell>
        </row>
        <row r="324">
          <cell r="DR324">
            <v>0</v>
          </cell>
        </row>
        <row r="325">
          <cell r="DR325">
            <v>0</v>
          </cell>
        </row>
        <row r="326">
          <cell r="DR326">
            <v>0</v>
          </cell>
        </row>
        <row r="327">
          <cell r="DR327">
            <v>0</v>
          </cell>
        </row>
        <row r="328">
          <cell r="DR328">
            <v>0</v>
          </cell>
        </row>
        <row r="329">
          <cell r="DR329">
            <v>0</v>
          </cell>
        </row>
        <row r="330">
          <cell r="DR330">
            <v>0</v>
          </cell>
        </row>
        <row r="331">
          <cell r="DR331">
            <v>0</v>
          </cell>
        </row>
        <row r="332">
          <cell r="DR332">
            <v>0</v>
          </cell>
        </row>
        <row r="333">
          <cell r="DR333">
            <v>0</v>
          </cell>
        </row>
        <row r="334">
          <cell r="DR334">
            <v>0</v>
          </cell>
        </row>
        <row r="335">
          <cell r="DR335">
            <v>0</v>
          </cell>
        </row>
        <row r="336">
          <cell r="DR336">
            <v>0</v>
          </cell>
        </row>
        <row r="337">
          <cell r="DR337">
            <v>0</v>
          </cell>
        </row>
        <row r="338">
          <cell r="DR338">
            <v>0</v>
          </cell>
        </row>
        <row r="339">
          <cell r="DR339">
            <v>0</v>
          </cell>
        </row>
        <row r="340">
          <cell r="DR340">
            <v>0</v>
          </cell>
        </row>
        <row r="341">
          <cell r="DR341">
            <v>0</v>
          </cell>
        </row>
        <row r="342">
          <cell r="DR342">
            <v>0</v>
          </cell>
        </row>
        <row r="343">
          <cell r="DR343">
            <v>0</v>
          </cell>
        </row>
        <row r="344">
          <cell r="DR344">
            <v>0</v>
          </cell>
        </row>
        <row r="345">
          <cell r="DR345">
            <v>0</v>
          </cell>
        </row>
        <row r="346">
          <cell r="DR346">
            <v>0</v>
          </cell>
        </row>
        <row r="347">
          <cell r="DR347">
            <v>0</v>
          </cell>
        </row>
        <row r="348">
          <cell r="DR348">
            <v>0</v>
          </cell>
        </row>
        <row r="349">
          <cell r="DR349">
            <v>0</v>
          </cell>
        </row>
        <row r="350">
          <cell r="DR350">
            <v>0</v>
          </cell>
        </row>
        <row r="351">
          <cell r="DR351">
            <v>0</v>
          </cell>
        </row>
        <row r="352">
          <cell r="DR352">
            <v>0</v>
          </cell>
        </row>
        <row r="353">
          <cell r="DR353">
            <v>0</v>
          </cell>
        </row>
        <row r="354">
          <cell r="DR354">
            <v>0</v>
          </cell>
        </row>
        <row r="355">
          <cell r="DR355">
            <v>0</v>
          </cell>
        </row>
        <row r="356">
          <cell r="DR356">
            <v>2426121.3689968698</v>
          </cell>
        </row>
        <row r="357">
          <cell r="DR357">
            <v>0</v>
          </cell>
        </row>
        <row r="358">
          <cell r="DR358">
            <v>38799706.312690876</v>
          </cell>
        </row>
        <row r="359">
          <cell r="DR359">
            <v>0</v>
          </cell>
        </row>
        <row r="360">
          <cell r="DR360">
            <v>4218330.5714127617</v>
          </cell>
        </row>
        <row r="361">
          <cell r="DR361">
            <v>444540.22666089085</v>
          </cell>
        </row>
        <row r="362">
          <cell r="DR362">
            <v>0</v>
          </cell>
        </row>
        <row r="363">
          <cell r="DR363">
            <v>0</v>
          </cell>
        </row>
        <row r="364">
          <cell r="DR364">
            <v>0</v>
          </cell>
        </row>
        <row r="365">
          <cell r="DR365">
            <v>42143442.332349062</v>
          </cell>
        </row>
        <row r="366">
          <cell r="DR366">
            <v>1279828.174027896</v>
          </cell>
        </row>
        <row r="367">
          <cell r="DR367">
            <v>31190515.718856461</v>
          </cell>
        </row>
        <row r="368">
          <cell r="DR368">
            <v>6310927.9389129002</v>
          </cell>
        </row>
        <row r="369">
          <cell r="DR369">
            <v>11040375.00892755</v>
          </cell>
        </row>
        <row r="370">
          <cell r="DR370">
            <v>1402253.544297342</v>
          </cell>
        </row>
        <row r="371">
          <cell r="DR371">
            <v>0</v>
          </cell>
        </row>
        <row r="372">
          <cell r="DR372">
            <v>0</v>
          </cell>
        </row>
        <row r="373">
          <cell r="DR373">
            <v>0</v>
          </cell>
        </row>
        <row r="374">
          <cell r="DR374">
            <v>0</v>
          </cell>
        </row>
        <row r="375">
          <cell r="DR375">
            <v>0</v>
          </cell>
        </row>
        <row r="376">
          <cell r="DR376">
            <v>0</v>
          </cell>
        </row>
        <row r="377">
          <cell r="DR377">
            <v>0</v>
          </cell>
        </row>
        <row r="378">
          <cell r="DR378">
            <v>0</v>
          </cell>
        </row>
        <row r="379">
          <cell r="DR379">
            <v>0</v>
          </cell>
        </row>
        <row r="380">
          <cell r="DR380">
            <v>0</v>
          </cell>
        </row>
        <row r="381">
          <cell r="DR381">
            <v>0</v>
          </cell>
        </row>
        <row r="382">
          <cell r="DR382">
            <v>0</v>
          </cell>
        </row>
        <row r="383">
          <cell r="DR383">
            <v>0</v>
          </cell>
        </row>
        <row r="384">
          <cell r="DR384">
            <v>0</v>
          </cell>
        </row>
        <row r="385">
          <cell r="DR385">
            <v>0</v>
          </cell>
        </row>
        <row r="386">
          <cell r="DR386">
            <v>0</v>
          </cell>
        </row>
        <row r="387">
          <cell r="DR387">
            <v>0</v>
          </cell>
        </row>
        <row r="388">
          <cell r="DR388">
            <v>0</v>
          </cell>
        </row>
        <row r="389">
          <cell r="DR389">
            <v>0</v>
          </cell>
        </row>
        <row r="390">
          <cell r="DR390">
            <v>0</v>
          </cell>
        </row>
        <row r="391">
          <cell r="DR391">
            <v>0</v>
          </cell>
        </row>
        <row r="392">
          <cell r="DR392">
            <v>0</v>
          </cell>
        </row>
        <row r="393">
          <cell r="DR393">
            <v>0</v>
          </cell>
        </row>
        <row r="394">
          <cell r="DR394">
            <v>0</v>
          </cell>
        </row>
        <row r="395">
          <cell r="DR395">
            <v>0</v>
          </cell>
        </row>
        <row r="396">
          <cell r="DR396">
            <v>0</v>
          </cell>
        </row>
        <row r="397">
          <cell r="DR397">
            <v>0</v>
          </cell>
        </row>
        <row r="398">
          <cell r="DR398">
            <v>0</v>
          </cell>
        </row>
        <row r="399">
          <cell r="DR399">
            <v>0</v>
          </cell>
        </row>
        <row r="400">
          <cell r="DR400">
            <v>0</v>
          </cell>
        </row>
        <row r="401">
          <cell r="DR401">
            <v>0</v>
          </cell>
        </row>
        <row r="402">
          <cell r="DR402">
            <v>0</v>
          </cell>
        </row>
        <row r="403">
          <cell r="DR403">
            <v>0</v>
          </cell>
        </row>
        <row r="404">
          <cell r="DR404">
            <v>0</v>
          </cell>
        </row>
        <row r="405">
          <cell r="DR405">
            <v>0</v>
          </cell>
        </row>
        <row r="406">
          <cell r="DR406">
            <v>0</v>
          </cell>
        </row>
        <row r="407">
          <cell r="DR407">
            <v>0</v>
          </cell>
        </row>
        <row r="408">
          <cell r="DR408">
            <v>0</v>
          </cell>
        </row>
        <row r="409">
          <cell r="DR409">
            <v>0</v>
          </cell>
        </row>
        <row r="410">
          <cell r="DR410">
            <v>0</v>
          </cell>
        </row>
        <row r="411">
          <cell r="DR411">
            <v>0</v>
          </cell>
        </row>
        <row r="412">
          <cell r="DR412">
            <v>0</v>
          </cell>
        </row>
        <row r="413">
          <cell r="DR413">
            <v>0</v>
          </cell>
        </row>
        <row r="414">
          <cell r="DR414">
            <v>612395.50057880615</v>
          </cell>
        </row>
        <row r="415">
          <cell r="DR415">
            <v>0</v>
          </cell>
        </row>
        <row r="416">
          <cell r="DR416">
            <v>0</v>
          </cell>
        </row>
        <row r="417">
          <cell r="DR417">
            <v>0</v>
          </cell>
        </row>
        <row r="418">
          <cell r="DR418">
            <v>0</v>
          </cell>
        </row>
        <row r="419">
          <cell r="DR419">
            <v>0</v>
          </cell>
        </row>
        <row r="420">
          <cell r="DR420">
            <v>0</v>
          </cell>
        </row>
        <row r="421">
          <cell r="DR421">
            <v>0</v>
          </cell>
        </row>
        <row r="422">
          <cell r="DR422">
            <v>2426121.3689968698</v>
          </cell>
        </row>
        <row r="423">
          <cell r="DR423">
            <v>0</v>
          </cell>
        </row>
        <row r="424">
          <cell r="DR424">
            <v>0</v>
          </cell>
        </row>
        <row r="425">
          <cell r="DR425">
            <v>0</v>
          </cell>
        </row>
        <row r="426">
          <cell r="DR426">
            <v>0</v>
          </cell>
        </row>
        <row r="427">
          <cell r="DR427">
            <v>0</v>
          </cell>
        </row>
        <row r="428">
          <cell r="DR428">
            <v>0</v>
          </cell>
        </row>
        <row r="429">
          <cell r="DR429">
            <v>0</v>
          </cell>
        </row>
        <row r="430">
          <cell r="DR430">
            <v>0</v>
          </cell>
        </row>
        <row r="431">
          <cell r="DR431">
            <v>639659.33735778625</v>
          </cell>
        </row>
        <row r="432">
          <cell r="DR432">
            <v>0</v>
          </cell>
        </row>
        <row r="433">
          <cell r="DR433">
            <v>0</v>
          </cell>
        </row>
        <row r="434">
          <cell r="DR434">
            <v>0</v>
          </cell>
        </row>
        <row r="435">
          <cell r="DR435">
            <v>634164.0233221472</v>
          </cell>
        </row>
        <row r="436">
          <cell r="DR436">
            <v>0</v>
          </cell>
        </row>
        <row r="437">
          <cell r="DR437">
            <v>0</v>
          </cell>
        </row>
        <row r="438">
          <cell r="DR438">
            <v>0</v>
          </cell>
        </row>
        <row r="439">
          <cell r="DR439">
            <v>0</v>
          </cell>
        </row>
        <row r="440">
          <cell r="DR440">
            <v>0</v>
          </cell>
        </row>
        <row r="441">
          <cell r="DR441">
            <v>0</v>
          </cell>
        </row>
        <row r="442">
          <cell r="DR442">
            <v>0</v>
          </cell>
        </row>
        <row r="443">
          <cell r="DR443">
            <v>0</v>
          </cell>
        </row>
        <row r="444">
          <cell r="DR444">
            <v>0</v>
          </cell>
        </row>
        <row r="445">
          <cell r="DR445">
            <v>0</v>
          </cell>
        </row>
        <row r="446">
          <cell r="DR446">
            <v>0</v>
          </cell>
        </row>
        <row r="447">
          <cell r="DR447">
            <v>0</v>
          </cell>
        </row>
        <row r="448">
          <cell r="DR448">
            <v>0</v>
          </cell>
        </row>
        <row r="449">
          <cell r="DR449">
            <v>0</v>
          </cell>
        </row>
        <row r="450">
          <cell r="DR450">
            <v>0</v>
          </cell>
        </row>
        <row r="451">
          <cell r="DR451">
            <v>0</v>
          </cell>
        </row>
        <row r="452">
          <cell r="DR452">
            <v>0</v>
          </cell>
        </row>
        <row r="453">
          <cell r="DR453">
            <v>0</v>
          </cell>
        </row>
        <row r="454">
          <cell r="DR454">
            <v>0</v>
          </cell>
        </row>
        <row r="455">
          <cell r="DR455">
            <v>0</v>
          </cell>
        </row>
        <row r="456">
          <cell r="DR456">
            <v>0</v>
          </cell>
        </row>
        <row r="457">
          <cell r="DR457">
            <v>0</v>
          </cell>
        </row>
        <row r="458">
          <cell r="DR458">
            <v>0</v>
          </cell>
        </row>
        <row r="459">
          <cell r="DR459">
            <v>0</v>
          </cell>
        </row>
        <row r="460">
          <cell r="DR460">
            <v>0</v>
          </cell>
        </row>
        <row r="461">
          <cell r="DR461">
            <v>0</v>
          </cell>
        </row>
        <row r="462">
          <cell r="DR462">
            <v>0</v>
          </cell>
        </row>
        <row r="463">
          <cell r="DR463">
            <v>0</v>
          </cell>
        </row>
        <row r="464">
          <cell r="DR464">
            <v>0</v>
          </cell>
        </row>
        <row r="465">
          <cell r="DR465">
            <v>0</v>
          </cell>
        </row>
        <row r="466">
          <cell r="DR466">
            <v>0</v>
          </cell>
        </row>
        <row r="467">
          <cell r="DR467">
            <v>0</v>
          </cell>
        </row>
        <row r="468">
          <cell r="DR468">
            <v>0</v>
          </cell>
        </row>
        <row r="469">
          <cell r="DR469">
            <v>0</v>
          </cell>
        </row>
        <row r="470">
          <cell r="DR470">
            <v>0</v>
          </cell>
        </row>
        <row r="471">
          <cell r="DR471">
            <v>0</v>
          </cell>
        </row>
        <row r="472">
          <cell r="DR472">
            <v>0</v>
          </cell>
        </row>
        <row r="473">
          <cell r="DR473">
            <v>0</v>
          </cell>
        </row>
        <row r="474">
          <cell r="DR474">
            <v>0</v>
          </cell>
        </row>
        <row r="475">
          <cell r="DR475">
            <v>0</v>
          </cell>
        </row>
        <row r="476">
          <cell r="DR476">
            <v>0</v>
          </cell>
        </row>
        <row r="477">
          <cell r="DR477">
            <v>0</v>
          </cell>
        </row>
        <row r="478">
          <cell r="DR478">
            <v>0</v>
          </cell>
        </row>
        <row r="479">
          <cell r="DR479">
            <v>0</v>
          </cell>
        </row>
        <row r="480">
          <cell r="DR480">
            <v>0</v>
          </cell>
        </row>
        <row r="481">
          <cell r="DR481">
            <v>0</v>
          </cell>
        </row>
        <row r="482">
          <cell r="DR482">
            <v>0</v>
          </cell>
        </row>
        <row r="483">
          <cell r="DR483">
            <v>0</v>
          </cell>
        </row>
        <row r="484">
          <cell r="DR484">
            <v>0</v>
          </cell>
        </row>
        <row r="485">
          <cell r="DR485">
            <v>0</v>
          </cell>
        </row>
        <row r="486">
          <cell r="DR486">
            <v>3820503.9380150954</v>
          </cell>
        </row>
        <row r="487">
          <cell r="DR487">
            <v>0</v>
          </cell>
        </row>
        <row r="488">
          <cell r="DR488">
            <v>11672118.124268349</v>
          </cell>
        </row>
        <row r="489">
          <cell r="DR489">
            <v>0</v>
          </cell>
        </row>
        <row r="490">
          <cell r="DR490">
            <v>0</v>
          </cell>
        </row>
        <row r="491">
          <cell r="DR491">
            <v>0</v>
          </cell>
        </row>
        <row r="492">
          <cell r="DR492">
            <v>0</v>
          </cell>
        </row>
        <row r="493">
          <cell r="DR493">
            <v>0</v>
          </cell>
        </row>
        <row r="494">
          <cell r="DR494">
            <v>0</v>
          </cell>
        </row>
        <row r="495">
          <cell r="DR495">
            <v>0</v>
          </cell>
        </row>
        <row r="496">
          <cell r="DR496">
            <v>0</v>
          </cell>
        </row>
        <row r="497">
          <cell r="DR497">
            <v>0</v>
          </cell>
        </row>
        <row r="498">
          <cell r="DR498">
            <v>0</v>
          </cell>
        </row>
        <row r="499">
          <cell r="DR499">
            <v>0</v>
          </cell>
        </row>
        <row r="500">
          <cell r="DR500">
            <v>0</v>
          </cell>
        </row>
        <row r="501">
          <cell r="DR501">
            <v>0</v>
          </cell>
        </row>
        <row r="502">
          <cell r="DR502">
            <v>0</v>
          </cell>
        </row>
        <row r="503">
          <cell r="DR503">
            <v>0</v>
          </cell>
        </row>
        <row r="504">
          <cell r="DR504">
            <v>0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Form D3 B1.1"/>
      <sheetName val="Rekap Biaya"/>
      <sheetName val="Kuantitas &amp; Harga"/>
      <sheetName val="anaK"/>
      <sheetName val="BOW"/>
      <sheetName val="Lamp.Upah&amp;Biaya"/>
      <sheetName val="Lamp.ABiaya"/>
      <sheetName val="ANGKUT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upah"/>
      <sheetName val="Analisa"/>
      <sheetName val="RAB"/>
      <sheetName val="DAF. UPAH"/>
    </sheetNames>
    <sheetDataSet>
      <sheetData sheetId="0" refreshError="1">
        <row r="56">
          <cell r="G56">
            <v>1725000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upah"/>
      <sheetName val="Analisa"/>
      <sheetName val="RAB"/>
      <sheetName val="DAF. UPAH"/>
    </sheetNames>
    <sheetDataSet>
      <sheetData sheetId="0" refreshError="1">
        <row r="56">
          <cell r="G56">
            <v>1725000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DAFTAR HARGA"/>
    </sheetNames>
    <sheetDataSet>
      <sheetData sheetId="0"/>
      <sheetData sheetId="1" refreshError="1">
        <row r="12">
          <cell r="E12">
            <v>28500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/>
      <sheetData sheetId="1"/>
      <sheetData sheetId="2" refreshError="1">
        <row r="147">
          <cell r="H147">
            <v>50000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 Kerja"/>
      <sheetName val="RAB"/>
      <sheetName val="Rekapitulasi"/>
      <sheetName val="HOK"/>
      <sheetName val="K-110"/>
      <sheetName val="K-210"/>
      <sheetName val="K-224"/>
      <sheetName val="K-225"/>
      <sheetName val="K-310"/>
      <sheetName val="K-341"/>
      <sheetName val="K-410"/>
      <sheetName val="K-515"/>
      <sheetName val="K-516"/>
      <sheetName val="K-705"/>
      <sheetName val="K-710"/>
      <sheetName val="K-715"/>
      <sheetName val="K-719"/>
      <sheetName val="K-720"/>
      <sheetName val="K-725"/>
      <sheetName val="K-810"/>
      <sheetName val="Gal. Excavator"/>
      <sheetName val="A-1"/>
      <sheetName val="A-16"/>
      <sheetName val="A-17a"/>
      <sheetName val="A-18"/>
      <sheetName val="G-2"/>
      <sheetName val="G-32h"/>
      <sheetName val="G-33m"/>
      <sheetName val="G-41"/>
      <sheetName val="G-43"/>
      <sheetName val="G-50h"/>
      <sheetName val="G-67"/>
      <sheetName val="F-1"/>
      <sheetName val="F-2"/>
      <sheetName val="F-8"/>
      <sheetName val="I-2"/>
      <sheetName val="Supl. V"/>
    </sheetNames>
    <sheetDataSet>
      <sheetData sheetId="0"/>
      <sheetData sheetId="1"/>
      <sheetData sheetId="2"/>
      <sheetData sheetId="3"/>
      <sheetData sheetId="4" refreshError="1">
        <row r="17">
          <cell r="E17">
            <v>17500</v>
          </cell>
        </row>
        <row r="21">
          <cell r="E21">
            <v>15000</v>
          </cell>
        </row>
        <row r="23">
          <cell r="E23">
            <v>15000</v>
          </cell>
        </row>
        <row r="24">
          <cell r="E24">
            <v>10000</v>
          </cell>
        </row>
        <row r="25">
          <cell r="E25">
            <v>15000</v>
          </cell>
        </row>
        <row r="26">
          <cell r="E26">
            <v>10000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 Kerja"/>
      <sheetName val="RAB"/>
      <sheetName val="Rekapitulasi"/>
      <sheetName val="HOK"/>
      <sheetName val="K-110"/>
      <sheetName val="K-210"/>
      <sheetName val="K-224"/>
      <sheetName val="K-225"/>
      <sheetName val="K-310"/>
      <sheetName val="K-341"/>
      <sheetName val="K-410"/>
      <sheetName val="K-515"/>
      <sheetName val="K-516"/>
      <sheetName val="K-705"/>
      <sheetName val="K-710"/>
      <sheetName val="K-715"/>
      <sheetName val="K-719"/>
      <sheetName val="K-720"/>
      <sheetName val="K-725"/>
      <sheetName val="K-810"/>
      <sheetName val="Gal. Excavator"/>
      <sheetName val="A-1"/>
      <sheetName val="A-16"/>
      <sheetName val="A-17a"/>
      <sheetName val="A-18"/>
      <sheetName val="G-2"/>
      <sheetName val="G-32h"/>
      <sheetName val="G-33m"/>
      <sheetName val="G-41"/>
      <sheetName val="G-43"/>
      <sheetName val="G-50h"/>
      <sheetName val="G-67"/>
      <sheetName val="F-1"/>
      <sheetName val="F-2"/>
      <sheetName val="F-8"/>
      <sheetName val="I-2"/>
      <sheetName val="Supl. V"/>
    </sheetNames>
    <sheetDataSet>
      <sheetData sheetId="0"/>
      <sheetData sheetId="1"/>
      <sheetData sheetId="2"/>
      <sheetData sheetId="3"/>
      <sheetData sheetId="4" refreshError="1">
        <row r="17">
          <cell r="E17">
            <v>17500</v>
          </cell>
        </row>
        <row r="21">
          <cell r="E21">
            <v>15000</v>
          </cell>
        </row>
        <row r="23">
          <cell r="E23">
            <v>15000</v>
          </cell>
        </row>
        <row r="24">
          <cell r="E24">
            <v>10000</v>
          </cell>
        </row>
        <row r="25">
          <cell r="E25">
            <v>15000</v>
          </cell>
        </row>
        <row r="26">
          <cell r="E26">
            <v>10000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HAN"/>
      <sheetName val="RAB (2)"/>
      <sheetName val="RAB"/>
      <sheetName val="ANALISA"/>
      <sheetName val="UPAH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KAP"/>
      <sheetName val="RAB"/>
      <sheetName val="ANALISA"/>
      <sheetName val="DAFTAR"/>
      <sheetName val="Sheet1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/>
      <sheetData sheetId="1"/>
      <sheetData sheetId="2"/>
      <sheetData sheetId="3"/>
      <sheetData sheetId="4">
        <row r="10">
          <cell r="B10" t="str">
            <v>INDUSTRIAL MATERIAL</v>
          </cell>
        </row>
        <row r="11">
          <cell r="B11" t="str">
            <v>.Aspal</v>
          </cell>
          <cell r="C11" t="str">
            <v>kg</v>
          </cell>
          <cell r="D11">
            <v>1760</v>
          </cell>
          <cell r="G11">
            <v>100</v>
          </cell>
        </row>
        <row r="12">
          <cell r="B12" t="str">
            <v>.Cement Portland type I 50kg/zak</v>
          </cell>
          <cell r="C12" t="str">
            <v>bag</v>
          </cell>
          <cell r="D12">
            <v>22886</v>
          </cell>
          <cell r="G12">
            <v>100</v>
          </cell>
        </row>
        <row r="13">
          <cell r="B13" t="str">
            <v>.Concrete Girder I 090 - 16,60</v>
          </cell>
          <cell r="C13" t="str">
            <v>unit</v>
          </cell>
          <cell r="D13">
            <v>15814385</v>
          </cell>
          <cell r="G13">
            <v>100</v>
          </cell>
        </row>
        <row r="14">
          <cell r="B14" t="str">
            <v>.Concrete Girder I 125 - 25,80</v>
          </cell>
          <cell r="C14" t="str">
            <v>unit</v>
          </cell>
          <cell r="D14">
            <v>25643483</v>
          </cell>
          <cell r="G14">
            <v>100</v>
          </cell>
        </row>
        <row r="15">
          <cell r="B15" t="str">
            <v>.Concrete Girder I 160 - 31,60</v>
          </cell>
          <cell r="C15" t="str">
            <v>unit</v>
          </cell>
          <cell r="D15">
            <v>37510359</v>
          </cell>
          <cell r="G15">
            <v>100</v>
          </cell>
        </row>
        <row r="16">
          <cell r="B16" t="str">
            <v>.Concrete Girder I 170 - 40,80</v>
          </cell>
          <cell r="C16" t="str">
            <v>unit</v>
          </cell>
          <cell r="D16">
            <v>67685816</v>
          </cell>
          <cell r="G16">
            <v>100</v>
          </cell>
        </row>
        <row r="17">
          <cell r="B17" t="str">
            <v>.Concrete peil (reinforcced)</v>
          </cell>
          <cell r="C17" t="str">
            <v>pcs</v>
          </cell>
          <cell r="D17">
            <v>149259</v>
          </cell>
          <cell r="G17">
            <v>100</v>
          </cell>
        </row>
        <row r="18">
          <cell r="B18" t="str">
            <v xml:space="preserve">.Diafragma ending </v>
          </cell>
          <cell r="C18" t="str">
            <v>unit</v>
          </cell>
          <cell r="D18">
            <v>163399</v>
          </cell>
          <cell r="G18">
            <v>100</v>
          </cell>
        </row>
        <row r="19">
          <cell r="B19" t="str">
            <v xml:space="preserve">.Diafragma ending  </v>
          </cell>
          <cell r="C19" t="str">
            <v>unit</v>
          </cell>
          <cell r="D19">
            <v>208505</v>
          </cell>
          <cell r="G19">
            <v>100</v>
          </cell>
        </row>
        <row r="20">
          <cell r="B20" t="str">
            <v xml:space="preserve">.Diafragma ending   </v>
          </cell>
          <cell r="C20" t="str">
            <v>unit</v>
          </cell>
          <cell r="D20">
            <v>228078</v>
          </cell>
          <cell r="G20">
            <v>100</v>
          </cell>
        </row>
        <row r="21">
          <cell r="B21" t="str">
            <v xml:space="preserve">.Diafragma middle </v>
          </cell>
          <cell r="C21" t="str">
            <v>unit</v>
          </cell>
          <cell r="D21">
            <v>154038</v>
          </cell>
          <cell r="G21">
            <v>100</v>
          </cell>
        </row>
        <row r="22">
          <cell r="B22" t="str">
            <v xml:space="preserve">.Diafragma middle  </v>
          </cell>
          <cell r="C22" t="str">
            <v>unit</v>
          </cell>
          <cell r="D22">
            <v>194888</v>
          </cell>
          <cell r="G22">
            <v>100</v>
          </cell>
        </row>
        <row r="23">
          <cell r="B23" t="str">
            <v xml:space="preserve">.Diafragma middle   </v>
          </cell>
          <cell r="C23" t="str">
            <v>unit</v>
          </cell>
          <cell r="D23">
            <v>235737</v>
          </cell>
          <cell r="G23">
            <v>100</v>
          </cell>
        </row>
        <row r="24">
          <cell r="B24" t="str">
            <v xml:space="preserve">.Diafragma middle    </v>
          </cell>
          <cell r="C24" t="str">
            <v>unit</v>
          </cell>
          <cell r="D24">
            <v>247652</v>
          </cell>
          <cell r="G24">
            <v>100</v>
          </cell>
        </row>
        <row r="25">
          <cell r="B25" t="str">
            <v>.Elastomeric bearing pad 406 x 280 x 67 mm</v>
          </cell>
          <cell r="C25" t="str">
            <v>pcs</v>
          </cell>
          <cell r="D25">
            <v>647411</v>
          </cell>
          <cell r="G25">
            <v>100</v>
          </cell>
        </row>
        <row r="26">
          <cell r="B26" t="str">
            <v>.Elastomeric bearing pad 480 x 300 x 67 mm</v>
          </cell>
          <cell r="C26" t="str">
            <v>pcs</v>
          </cell>
          <cell r="D26">
            <v>836000</v>
          </cell>
          <cell r="G26">
            <v>100</v>
          </cell>
        </row>
        <row r="27">
          <cell r="B27" t="str">
            <v>.Galvanis iron pipe ø 2" - 6 m</v>
          </cell>
          <cell r="C27" t="str">
            <v>pcs</v>
          </cell>
          <cell r="D27">
            <v>163438</v>
          </cell>
          <cell r="G27">
            <v>100</v>
          </cell>
        </row>
        <row r="28">
          <cell r="B28" t="str">
            <v>.Galvanis iron pipe ø 3" - 6 m</v>
          </cell>
          <cell r="C28" t="str">
            <v>pcs</v>
          </cell>
          <cell r="D28">
            <v>296776</v>
          </cell>
          <cell r="G28">
            <v>100</v>
          </cell>
        </row>
        <row r="29">
          <cell r="B29" t="str">
            <v>.Galvanis iron pipe ø 4" - 6 m</v>
          </cell>
          <cell r="C29" t="str">
            <v>pcs</v>
          </cell>
          <cell r="D29">
            <v>427752</v>
          </cell>
          <cell r="G29">
            <v>100</v>
          </cell>
        </row>
        <row r="30">
          <cell r="B30" t="str">
            <v>.Joint Filler 120 x 180 x 10</v>
          </cell>
          <cell r="C30" t="str">
            <v>sheet</v>
          </cell>
          <cell r="D30">
            <v>135577</v>
          </cell>
          <cell r="G30">
            <v>100</v>
          </cell>
        </row>
        <row r="31">
          <cell r="B31" t="str">
            <v>.Maccaferri gabion 3 x 1.5 x 0.5</v>
          </cell>
          <cell r="C31" t="str">
            <v>unit</v>
          </cell>
          <cell r="D31">
            <v>420413</v>
          </cell>
          <cell r="G31">
            <v>100</v>
          </cell>
        </row>
        <row r="32">
          <cell r="B32" t="str">
            <v>.Maccaferri gabion cylinder</v>
          </cell>
          <cell r="C32" t="str">
            <v>unit</v>
          </cell>
          <cell r="D32">
            <v>0</v>
          </cell>
          <cell r="G32">
            <v>100</v>
          </cell>
        </row>
        <row r="33">
          <cell r="B33" t="str">
            <v>.Mowilex paint</v>
          </cell>
          <cell r="C33" t="str">
            <v>kg</v>
          </cell>
          <cell r="D33">
            <v>43534</v>
          </cell>
          <cell r="G33">
            <v>100</v>
          </cell>
        </row>
        <row r="34">
          <cell r="B34" t="str">
            <v>.Multiplek 12 mm</v>
          </cell>
          <cell r="C34" t="str">
            <v>sheet</v>
          </cell>
          <cell r="D34">
            <v>88934</v>
          </cell>
          <cell r="G34">
            <v>100</v>
          </cell>
        </row>
        <row r="35">
          <cell r="B35" t="str">
            <v>.Multiplek 9 mm</v>
          </cell>
          <cell r="C35" t="str">
            <v>sheet</v>
          </cell>
          <cell r="D35">
            <v>77117</v>
          </cell>
          <cell r="G35">
            <v>100</v>
          </cell>
        </row>
        <row r="36">
          <cell r="B36" t="str">
            <v>.Nail</v>
          </cell>
          <cell r="C36" t="str">
            <v>kg</v>
          </cell>
          <cell r="D36">
            <v>4540</v>
          </cell>
          <cell r="G36">
            <v>100</v>
          </cell>
        </row>
        <row r="37">
          <cell r="B37" t="str">
            <v>.Oil form</v>
          </cell>
          <cell r="C37" t="str">
            <v>ltr</v>
          </cell>
          <cell r="D37">
            <v>11816</v>
          </cell>
          <cell r="G37">
            <v>100</v>
          </cell>
        </row>
        <row r="38">
          <cell r="B38" t="str">
            <v>.PC Pile diam. 300 A2</v>
          </cell>
          <cell r="C38" t="str">
            <v>m</v>
          </cell>
          <cell r="D38">
            <v>78871</v>
          </cell>
          <cell r="G38">
            <v>100</v>
          </cell>
        </row>
        <row r="39">
          <cell r="B39" t="str">
            <v>.PC Pile diam. 400 A3</v>
          </cell>
          <cell r="C39" t="str">
            <v>m</v>
          </cell>
          <cell r="D39">
            <v>129980</v>
          </cell>
          <cell r="G39">
            <v>100</v>
          </cell>
        </row>
        <row r="40">
          <cell r="B40" t="str">
            <v>.PC Pile diam. 400 Bo</v>
          </cell>
          <cell r="C40" t="str">
            <v>m</v>
          </cell>
          <cell r="D40">
            <v>77968</v>
          </cell>
          <cell r="G40">
            <v>100</v>
          </cell>
        </row>
        <row r="41">
          <cell r="B41" t="str">
            <v>.PC Pile diam. 600 A3</v>
          </cell>
          <cell r="C41" t="str">
            <v>m</v>
          </cell>
          <cell r="D41">
            <v>264313</v>
          </cell>
          <cell r="G41">
            <v>100</v>
          </cell>
        </row>
        <row r="42">
          <cell r="B42" t="str">
            <v>.Profile L 75 x 75 x 6 mm</v>
          </cell>
          <cell r="C42" t="str">
            <v>kg</v>
          </cell>
          <cell r="D42">
            <v>4291</v>
          </cell>
          <cell r="G42">
            <v>100</v>
          </cell>
        </row>
        <row r="43">
          <cell r="B43" t="str">
            <v>.PVC Pipe diam. 25 mm</v>
          </cell>
          <cell r="C43" t="str">
            <v>m</v>
          </cell>
          <cell r="D43">
            <v>17364</v>
          </cell>
          <cell r="G43">
            <v>100</v>
          </cell>
        </row>
        <row r="44">
          <cell r="B44" t="str">
            <v>.PVC Pipe diam. 50 mm</v>
          </cell>
          <cell r="C44" t="str">
            <v>m</v>
          </cell>
          <cell r="D44">
            <v>40797</v>
          </cell>
          <cell r="G44">
            <v>100</v>
          </cell>
        </row>
        <row r="45">
          <cell r="B45" t="str">
            <v>.RC Pile 400 x 400</v>
          </cell>
          <cell r="C45" t="str">
            <v>m</v>
          </cell>
          <cell r="D45">
            <v>111945</v>
          </cell>
          <cell r="G45">
            <v>100</v>
          </cell>
        </row>
        <row r="46">
          <cell r="B46" t="str">
            <v>.RC Pipe dia. 60 cm , L = 1.25 m</v>
          </cell>
          <cell r="C46" t="str">
            <v>unit</v>
          </cell>
          <cell r="D46">
            <v>257658</v>
          </cell>
          <cell r="G46">
            <v>100</v>
          </cell>
        </row>
        <row r="47">
          <cell r="B47" t="str">
            <v>.RC slab</v>
          </cell>
          <cell r="C47" t="str">
            <v>unit</v>
          </cell>
          <cell r="D47">
            <v>181598</v>
          </cell>
          <cell r="G47">
            <v>100</v>
          </cell>
        </row>
        <row r="48">
          <cell r="B48" t="str">
            <v xml:space="preserve">.RC slab </v>
          </cell>
          <cell r="C48" t="str">
            <v>unit</v>
          </cell>
          <cell r="D48">
            <v>180355</v>
          </cell>
          <cell r="G48">
            <v>100</v>
          </cell>
        </row>
        <row r="49">
          <cell r="B49" t="str">
            <v xml:space="preserve">.RC slab    </v>
          </cell>
          <cell r="C49" t="str">
            <v>unit</v>
          </cell>
          <cell r="D49">
            <v>179111</v>
          </cell>
          <cell r="G49">
            <v>100</v>
          </cell>
        </row>
        <row r="50">
          <cell r="B50" t="str">
            <v>.RC  Slab</v>
          </cell>
          <cell r="C50" t="str">
            <v>unit</v>
          </cell>
          <cell r="D50">
            <v>165858.75</v>
          </cell>
          <cell r="G50">
            <v>100</v>
          </cell>
        </row>
        <row r="51">
          <cell r="B51" t="str">
            <v>.Reinforcement deform bar</v>
          </cell>
          <cell r="C51" t="str">
            <v>kg</v>
          </cell>
          <cell r="D51">
            <v>2848</v>
          </cell>
          <cell r="G51">
            <v>100</v>
          </cell>
        </row>
        <row r="52">
          <cell r="B52" t="str">
            <v>.Reinforcement plain bar</v>
          </cell>
          <cell r="C52" t="str">
            <v>kg</v>
          </cell>
          <cell r="D52">
            <v>2716</v>
          </cell>
          <cell r="G52">
            <v>100</v>
          </cell>
        </row>
        <row r="53">
          <cell r="B53" t="str">
            <v>.SP Pile ø 400 mm</v>
          </cell>
          <cell r="C53" t="str">
            <v>m</v>
          </cell>
          <cell r="D53">
            <v>271762</v>
          </cell>
          <cell r="G53">
            <v>100</v>
          </cell>
        </row>
        <row r="54">
          <cell r="B54" t="str">
            <v>.Steel sheet pile w= 40 cm</v>
          </cell>
          <cell r="C54" t="str">
            <v>m</v>
          </cell>
          <cell r="D54">
            <v>228239</v>
          </cell>
          <cell r="G54">
            <v>100</v>
          </cell>
        </row>
        <row r="55">
          <cell r="B55" t="str">
            <v>.Water stop welding</v>
          </cell>
          <cell r="C55" t="str">
            <v>unit</v>
          </cell>
          <cell r="D55">
            <v>310956</v>
          </cell>
          <cell r="G55">
            <v>100</v>
          </cell>
        </row>
        <row r="56">
          <cell r="B56" t="str">
            <v>.Water stop w=320 mm</v>
          </cell>
          <cell r="C56" t="str">
            <v>m</v>
          </cell>
          <cell r="D56">
            <v>113923</v>
          </cell>
          <cell r="G56">
            <v>100</v>
          </cell>
        </row>
        <row r="57">
          <cell r="B57" t="str">
            <v>.Welding rod</v>
          </cell>
          <cell r="C57" t="str">
            <v>kg</v>
          </cell>
          <cell r="D57">
            <v>13682</v>
          </cell>
          <cell r="G57">
            <v>100</v>
          </cell>
        </row>
        <row r="58">
          <cell r="B58" t="str">
            <v>.Wire</v>
          </cell>
          <cell r="C58" t="str">
            <v>kg</v>
          </cell>
          <cell r="D58">
            <v>4795</v>
          </cell>
          <cell r="G58">
            <v>100</v>
          </cell>
        </row>
        <row r="59">
          <cell r="B59" t="str">
            <v>.Wire for Gabion</v>
          </cell>
          <cell r="C59" t="str">
            <v>kg</v>
          </cell>
          <cell r="D59">
            <v>4565</v>
          </cell>
          <cell r="G59">
            <v>100</v>
          </cell>
        </row>
        <row r="60">
          <cell r="B60" t="str">
            <v>.Sunny hose ø 4"</v>
          </cell>
          <cell r="C60" t="str">
            <v>m</v>
          </cell>
          <cell r="D60">
            <v>18657</v>
          </cell>
          <cell r="G60">
            <v>100</v>
          </cell>
        </row>
        <row r="61">
          <cell r="B61" t="str">
            <v>.Supply material R.Dam</v>
          </cell>
          <cell r="C61" t="str">
            <v>unit</v>
          </cell>
          <cell r="D61">
            <v>2635956637.3000002</v>
          </cell>
          <cell r="G61">
            <v>100</v>
          </cell>
        </row>
        <row r="64">
          <cell r="B64" t="str">
            <v>NATURAL MATERIAL</v>
          </cell>
        </row>
        <row r="65">
          <cell r="B65" t="str">
            <v>.Crusher run</v>
          </cell>
          <cell r="C65" t="str">
            <v xml:space="preserve">m³ </v>
          </cell>
          <cell r="D65">
            <v>95071</v>
          </cell>
          <cell r="G65">
            <v>100</v>
          </cell>
        </row>
        <row r="66">
          <cell r="B66" t="str">
            <v xml:space="preserve">.Gravel </v>
          </cell>
          <cell r="C66" t="str">
            <v xml:space="preserve">m³ </v>
          </cell>
          <cell r="D66">
            <v>55225</v>
          </cell>
          <cell r="G66">
            <v>100</v>
          </cell>
        </row>
        <row r="67">
          <cell r="B67" t="str">
            <v>.Log pile ø 6 " - 4 m</v>
          </cell>
          <cell r="C67" t="str">
            <v>pcs</v>
          </cell>
          <cell r="D67">
            <v>13085</v>
          </cell>
          <cell r="G67">
            <v>100</v>
          </cell>
        </row>
        <row r="68">
          <cell r="B68" t="str">
            <v>.Palm fibre</v>
          </cell>
          <cell r="C68" t="str">
            <v>kg</v>
          </cell>
          <cell r="D68">
            <v>2180</v>
          </cell>
          <cell r="G68">
            <v>100</v>
          </cell>
        </row>
        <row r="69">
          <cell r="B69" t="str">
            <v>.River stone</v>
          </cell>
          <cell r="C69" t="str">
            <v xml:space="preserve">m³ </v>
          </cell>
          <cell r="D69">
            <v>37544</v>
          </cell>
          <cell r="G69">
            <v>100</v>
          </cell>
        </row>
        <row r="70">
          <cell r="B70" t="str">
            <v>.Sand</v>
          </cell>
          <cell r="C70" t="str">
            <v xml:space="preserve">m³ </v>
          </cell>
          <cell r="D70">
            <v>31488</v>
          </cell>
          <cell r="G70">
            <v>100</v>
          </cell>
        </row>
        <row r="71">
          <cell r="B71" t="str">
            <v>.Split 2/3</v>
          </cell>
          <cell r="C71" t="str">
            <v xml:space="preserve">m³ </v>
          </cell>
          <cell r="D71">
            <v>73150</v>
          </cell>
          <cell r="G71">
            <v>100</v>
          </cell>
        </row>
        <row r="72">
          <cell r="B72" t="str">
            <v>.Wooden for bekisting</v>
          </cell>
          <cell r="C72" t="str">
            <v xml:space="preserve">m³ </v>
          </cell>
          <cell r="D72">
            <v>1307980</v>
          </cell>
          <cell r="G72">
            <v>100</v>
          </cell>
        </row>
        <row r="73">
          <cell r="B73" t="str">
            <v>.Sodding</v>
          </cell>
          <cell r="C73" t="str">
            <v xml:space="preserve">m² </v>
          </cell>
          <cell r="D73">
            <v>4845</v>
          </cell>
          <cell r="G73">
            <v>100</v>
          </cell>
        </row>
        <row r="74">
          <cell r="B74" t="str">
            <v>.Wood</v>
          </cell>
          <cell r="C74" t="str">
            <v xml:space="preserve">m³ </v>
          </cell>
          <cell r="D74">
            <v>1307980</v>
          </cell>
          <cell r="G74">
            <v>100</v>
          </cell>
        </row>
        <row r="78">
          <cell r="B78" t="str">
            <v>LABOUR</v>
          </cell>
        </row>
        <row r="79">
          <cell r="B79" t="str">
            <v>.Carpenter</v>
          </cell>
          <cell r="C79" t="str">
            <v>man.day</v>
          </cell>
          <cell r="D79">
            <v>30114</v>
          </cell>
          <cell r="F79">
            <v>100</v>
          </cell>
        </row>
        <row r="80">
          <cell r="B80" t="str">
            <v>.Foreman</v>
          </cell>
          <cell r="C80" t="str">
            <v>man.day</v>
          </cell>
          <cell r="D80">
            <v>36660</v>
          </cell>
          <cell r="F80">
            <v>100</v>
          </cell>
        </row>
        <row r="81">
          <cell r="B81" t="str">
            <v>.Ironsmith</v>
          </cell>
          <cell r="C81" t="str">
            <v>man.day</v>
          </cell>
          <cell r="D81">
            <v>26840</v>
          </cell>
          <cell r="F81">
            <v>100</v>
          </cell>
        </row>
        <row r="82">
          <cell r="B82" t="str">
            <v>.Mason</v>
          </cell>
          <cell r="C82" t="str">
            <v>man.day</v>
          </cell>
          <cell r="D82">
            <v>26840</v>
          </cell>
          <cell r="F82">
            <v>100</v>
          </cell>
        </row>
        <row r="83">
          <cell r="B83" t="str">
            <v>.Mechanic</v>
          </cell>
          <cell r="C83" t="str">
            <v>man.day</v>
          </cell>
          <cell r="D83">
            <v>30114</v>
          </cell>
          <cell r="F83">
            <v>100</v>
          </cell>
        </row>
        <row r="84">
          <cell r="B84" t="str">
            <v>.Operator</v>
          </cell>
          <cell r="C84" t="str">
            <v>man.day</v>
          </cell>
          <cell r="D84">
            <v>23567</v>
          </cell>
          <cell r="F84">
            <v>100</v>
          </cell>
        </row>
        <row r="85">
          <cell r="B85" t="str">
            <v>.Skilled labour</v>
          </cell>
          <cell r="C85" t="str">
            <v>man.day</v>
          </cell>
          <cell r="D85">
            <v>30114</v>
          </cell>
          <cell r="F85">
            <v>100</v>
          </cell>
        </row>
        <row r="86">
          <cell r="B86" t="str">
            <v>.Unskilled labour</v>
          </cell>
          <cell r="C86" t="str">
            <v>man.day</v>
          </cell>
          <cell r="D86">
            <v>19639</v>
          </cell>
          <cell r="F86">
            <v>100</v>
          </cell>
        </row>
        <row r="87">
          <cell r="B87" t="str">
            <v>.Welder</v>
          </cell>
          <cell r="C87" t="str">
            <v>man.day</v>
          </cell>
          <cell r="D87">
            <v>30114</v>
          </cell>
          <cell r="F87">
            <v>100</v>
          </cell>
        </row>
        <row r="88">
          <cell r="B88" t="str">
            <v>.Install R. Dam</v>
          </cell>
          <cell r="C88" t="str">
            <v>unit</v>
          </cell>
          <cell r="D88">
            <v>222999828.78</v>
          </cell>
          <cell r="F88">
            <v>100</v>
          </cell>
        </row>
        <row r="91">
          <cell r="B91" t="str">
            <v>EQUIPMENT</v>
          </cell>
        </row>
        <row r="92">
          <cell r="B92" t="str">
            <v>.Air Compressor 175 cfm</v>
          </cell>
          <cell r="C92" t="str">
            <v>hour</v>
          </cell>
          <cell r="D92">
            <v>16107</v>
          </cell>
          <cell r="H92">
            <v>27.453902030173211</v>
          </cell>
          <cell r="I92">
            <v>72.546097969826789</v>
          </cell>
        </row>
        <row r="93">
          <cell r="B93" t="str">
            <v>.Baby roller</v>
          </cell>
          <cell r="C93" t="str">
            <v>hour</v>
          </cell>
          <cell r="D93">
            <v>5965</v>
          </cell>
          <cell r="H93">
            <v>67.139473012864897</v>
          </cell>
          <cell r="I93">
            <v>32.860526987135096</v>
          </cell>
        </row>
        <row r="94">
          <cell r="B94" t="str">
            <v>.Bar bender</v>
          </cell>
          <cell r="C94" t="str">
            <v>hour</v>
          </cell>
          <cell r="D94">
            <v>2422</v>
          </cell>
          <cell r="H94">
            <v>0</v>
          </cell>
          <cell r="I94">
            <v>100</v>
          </cell>
        </row>
        <row r="95">
          <cell r="B95" t="str">
            <v>.Bar cutter</v>
          </cell>
          <cell r="C95" t="str">
            <v>hour</v>
          </cell>
          <cell r="D95">
            <v>2422</v>
          </cell>
          <cell r="H95">
            <v>0</v>
          </cell>
          <cell r="I95">
            <v>100</v>
          </cell>
        </row>
        <row r="96">
          <cell r="B96" t="str">
            <v>.Bulldozer D7G</v>
          </cell>
          <cell r="C96" t="str">
            <v>hour</v>
          </cell>
          <cell r="D96">
            <v>257139</v>
          </cell>
          <cell r="H96">
            <v>11.783808470682047</v>
          </cell>
          <cell r="I96">
            <v>88.216191529317953</v>
          </cell>
        </row>
        <row r="97">
          <cell r="B97" t="str">
            <v>.Chain saw</v>
          </cell>
          <cell r="C97" t="str">
            <v>hour</v>
          </cell>
          <cell r="D97">
            <v>11385</v>
          </cell>
          <cell r="H97">
            <v>2.9797101449275365</v>
          </cell>
          <cell r="I97">
            <v>97.020289855072463</v>
          </cell>
        </row>
        <row r="98">
          <cell r="B98" t="str">
            <v>.Chute</v>
          </cell>
          <cell r="C98" t="str">
            <v>unit</v>
          </cell>
          <cell r="D98">
            <v>302774</v>
          </cell>
          <cell r="H98">
            <v>0</v>
          </cell>
          <cell r="I98">
            <v>100</v>
          </cell>
        </row>
        <row r="99">
          <cell r="B99" t="str">
            <v>.Concrete mixer 350 liter</v>
          </cell>
          <cell r="C99" t="str">
            <v>hour</v>
          </cell>
          <cell r="D99">
            <v>4421</v>
          </cell>
          <cell r="H99">
            <v>2.5378873558018546</v>
          </cell>
          <cell r="I99">
            <v>97.462112644198157</v>
          </cell>
        </row>
        <row r="100">
          <cell r="B100" t="str">
            <v>.Concrete mixer 400 lt winget</v>
          </cell>
          <cell r="C100" t="str">
            <v>hour</v>
          </cell>
          <cell r="D100">
            <v>29760</v>
          </cell>
          <cell r="H100">
            <v>0.37701612903225806</v>
          </cell>
          <cell r="I100">
            <v>99.622983870967744</v>
          </cell>
        </row>
        <row r="101">
          <cell r="B101" t="str">
            <v>.Concrete vibrator</v>
          </cell>
          <cell r="C101" t="str">
            <v>hour</v>
          </cell>
          <cell r="D101">
            <v>4804</v>
          </cell>
          <cell r="H101">
            <v>5.495420482930891</v>
          </cell>
          <cell r="I101">
            <v>94.504579517069104</v>
          </cell>
        </row>
        <row r="102">
          <cell r="B102" t="str">
            <v>.Crawler crane 40 ton</v>
          </cell>
          <cell r="C102" t="str">
            <v>hour</v>
          </cell>
          <cell r="D102">
            <v>167615</v>
          </cell>
          <cell r="H102">
            <v>17.418433868322495</v>
          </cell>
          <cell r="I102">
            <v>82.581566131677505</v>
          </cell>
        </row>
        <row r="103">
          <cell r="B103" t="str">
            <v>.Dump truck 8 ton</v>
          </cell>
          <cell r="C103" t="str">
            <v>hour</v>
          </cell>
          <cell r="D103">
            <v>48807</v>
          </cell>
          <cell r="H103">
            <v>22.284390991041128</v>
          </cell>
          <cell r="I103">
            <v>77.715609008958879</v>
          </cell>
        </row>
        <row r="104">
          <cell r="B104" t="str">
            <v>.Excavator Long arm PC-200</v>
          </cell>
          <cell r="C104" t="str">
            <v>hour</v>
          </cell>
          <cell r="D104">
            <v>206855</v>
          </cell>
          <cell r="H104">
            <v>9.6995183190765655</v>
          </cell>
          <cell r="I104">
            <v>90.300481680923426</v>
          </cell>
        </row>
        <row r="105">
          <cell r="B105" t="str">
            <v>.Excavator PC-200</v>
          </cell>
          <cell r="C105" t="str">
            <v>hour</v>
          </cell>
          <cell r="D105">
            <v>164466</v>
          </cell>
          <cell r="H105">
            <v>12.199444638360408</v>
          </cell>
          <cell r="I105">
            <v>87.800555361639582</v>
          </cell>
        </row>
        <row r="106">
          <cell r="B106" t="str">
            <v>.Genset 45 KVA</v>
          </cell>
          <cell r="C106" t="str">
            <v>hour</v>
          </cell>
          <cell r="D106">
            <v>14835</v>
          </cell>
          <cell r="H106">
            <v>26.83310414560162</v>
          </cell>
          <cell r="I106">
            <v>73.166895854398376</v>
          </cell>
        </row>
        <row r="107">
          <cell r="B107" t="str">
            <v>.Pick hammer 30 kg</v>
          </cell>
          <cell r="C107" t="str">
            <v>hour</v>
          </cell>
          <cell r="D107">
            <v>7569</v>
          </cell>
          <cell r="H107">
            <v>0</v>
          </cell>
          <cell r="I107">
            <v>100</v>
          </cell>
        </row>
        <row r="108">
          <cell r="B108" t="str">
            <v>.Piling equipment ( crane 25t &amp; hammer K-25 )</v>
          </cell>
          <cell r="C108" t="str">
            <v>month</v>
          </cell>
          <cell r="D108">
            <v>48443712</v>
          </cell>
          <cell r="H108">
            <v>0</v>
          </cell>
          <cell r="I108">
            <v>100</v>
          </cell>
        </row>
        <row r="109">
          <cell r="B109" t="str">
            <v>.Vibro roller CA-25</v>
          </cell>
          <cell r="C109" t="str">
            <v>hour</v>
          </cell>
          <cell r="D109">
            <v>116023</v>
          </cell>
          <cell r="H109">
            <v>17.293070011054557</v>
          </cell>
          <cell r="I109">
            <v>82.706929988945433</v>
          </cell>
        </row>
        <row r="110">
          <cell r="B110" t="str">
            <v>.Water pump 4"</v>
          </cell>
          <cell r="C110" t="str">
            <v>hour</v>
          </cell>
          <cell r="D110">
            <v>3634</v>
          </cell>
          <cell r="H110">
            <v>18.161805173362687</v>
          </cell>
          <cell r="I110">
            <v>81.838194826637306</v>
          </cell>
        </row>
        <row r="111">
          <cell r="B111" t="str">
            <v>.Water tank 5000 lt</v>
          </cell>
          <cell r="C111" t="str">
            <v>hour</v>
          </cell>
          <cell r="D111">
            <v>59465</v>
          </cell>
          <cell r="H111">
            <v>14.93496034440083</v>
          </cell>
          <cell r="I111">
            <v>85.065039655599179</v>
          </cell>
        </row>
        <row r="112">
          <cell r="B112" t="str">
            <v>.Welder machine + genset</v>
          </cell>
          <cell r="C112" t="str">
            <v>hour</v>
          </cell>
          <cell r="D112">
            <v>18166</v>
          </cell>
          <cell r="H112">
            <v>21.912864692282287</v>
          </cell>
          <cell r="I112">
            <v>78.087135307717716</v>
          </cell>
        </row>
        <row r="113">
          <cell r="B113" t="str">
            <v>.Concrete pump 85 m3</v>
          </cell>
          <cell r="C113" t="str">
            <v>hour</v>
          </cell>
          <cell r="D113">
            <v>222115</v>
          </cell>
          <cell r="H113">
            <v>8.4899339890576488</v>
          </cell>
          <cell r="I113">
            <v>91.510066010942353</v>
          </cell>
        </row>
        <row r="116">
          <cell r="B116" t="str">
            <v>.Tools</v>
          </cell>
          <cell r="C116" t="str">
            <v>ls</v>
          </cell>
          <cell r="I116">
            <v>100</v>
          </cell>
        </row>
        <row r="118">
          <cell r="B118" t="str">
            <v>SUBCONTRACTOR</v>
          </cell>
        </row>
        <row r="119">
          <cell r="B119" t="str">
            <v>.Concrete block crib t 20 cm</v>
          </cell>
          <cell r="C119" t="str">
            <v>nos</v>
          </cell>
          <cell r="D119">
            <v>121109</v>
          </cell>
          <cell r="G119">
            <v>100</v>
          </cell>
        </row>
        <row r="120">
          <cell r="B120" t="str">
            <v>.Control house</v>
          </cell>
          <cell r="C120" t="str">
            <v xml:space="preserve">m² </v>
          </cell>
          <cell r="D120">
            <v>787210</v>
          </cell>
          <cell r="G120">
            <v>100</v>
          </cell>
        </row>
        <row r="121">
          <cell r="B121" t="str">
            <v>.Flap gate ø 600 mm</v>
          </cell>
          <cell r="C121" t="str">
            <v>unit</v>
          </cell>
          <cell r="D121">
            <v>18166392</v>
          </cell>
          <cell r="G121">
            <v>100</v>
          </cell>
        </row>
        <row r="122">
          <cell r="B122" t="str">
            <v>.Name plate</v>
          </cell>
          <cell r="C122" t="str">
            <v>unit</v>
          </cell>
          <cell r="D122">
            <v>908320</v>
          </cell>
          <cell r="G122">
            <v>100</v>
          </cell>
        </row>
        <row r="123">
          <cell r="B123" t="str">
            <v>.Piling work PC pile ø 60 cm</v>
          </cell>
          <cell r="C123" t="str">
            <v>m</v>
          </cell>
          <cell r="D123">
            <v>54499</v>
          </cell>
          <cell r="I123">
            <v>100</v>
          </cell>
        </row>
        <row r="124">
          <cell r="B124" t="str">
            <v>.Piling work PC pile or SP Pile ø 30 cm or ø 35 cm</v>
          </cell>
          <cell r="C124" t="str">
            <v>m</v>
          </cell>
          <cell r="D124">
            <v>42388</v>
          </cell>
          <cell r="I124">
            <v>100</v>
          </cell>
        </row>
        <row r="125">
          <cell r="B125" t="str">
            <v>.Piling work PC pile or SP Pile ø 40 cm or ø 50 cm</v>
          </cell>
          <cell r="C125" t="str">
            <v>m</v>
          </cell>
          <cell r="D125">
            <v>42388</v>
          </cell>
          <cell r="I125">
            <v>100</v>
          </cell>
        </row>
        <row r="126">
          <cell r="B126" t="str">
            <v>.Ready mix K-350 for B</v>
          </cell>
          <cell r="C126" t="str">
            <v xml:space="preserve">m³ </v>
          </cell>
          <cell r="D126">
            <v>333051</v>
          </cell>
          <cell r="G126">
            <v>100</v>
          </cell>
        </row>
        <row r="127">
          <cell r="B127" t="str">
            <v>.Static loading test</v>
          </cell>
          <cell r="C127" t="str">
            <v>nos</v>
          </cell>
          <cell r="D127">
            <v>18166392</v>
          </cell>
          <cell r="I127">
            <v>100</v>
          </cell>
        </row>
        <row r="128">
          <cell r="B128" t="str">
            <v>.Steel sheet piling work</v>
          </cell>
          <cell r="C128" t="str">
            <v>m</v>
          </cell>
          <cell r="D128">
            <v>42388</v>
          </cell>
          <cell r="I128">
            <v>100</v>
          </cell>
        </row>
        <row r="129">
          <cell r="B129" t="str">
            <v>.Steel slide gate (H= 1m, B= 1m, x 2)</v>
          </cell>
          <cell r="C129" t="str">
            <v>unit</v>
          </cell>
          <cell r="D129">
            <v>8233732</v>
          </cell>
          <cell r="G129">
            <v>100</v>
          </cell>
        </row>
        <row r="130">
          <cell r="B130" t="str">
            <v>.Steel slide gate (H= 1m, B= 1,25m, x 2)</v>
          </cell>
          <cell r="C130" t="str">
            <v>unit</v>
          </cell>
          <cell r="D130">
            <v>8890335</v>
          </cell>
          <cell r="G130">
            <v>100</v>
          </cell>
        </row>
        <row r="131">
          <cell r="B131" t="str">
            <v>.Steel slide gate (H= 1,5m, B= 2m, x 2)</v>
          </cell>
          <cell r="C131" t="str">
            <v>unit</v>
          </cell>
          <cell r="D131">
            <v>12573526</v>
          </cell>
          <cell r="G131">
            <v>100</v>
          </cell>
        </row>
        <row r="132">
          <cell r="B132" t="str">
            <v>.Erection Diafragma wall</v>
          </cell>
          <cell r="C132" t="str">
            <v>unit</v>
          </cell>
          <cell r="D132">
            <v>170207</v>
          </cell>
          <cell r="I132">
            <v>100</v>
          </cell>
        </row>
        <row r="133">
          <cell r="B133" t="str">
            <v>.Erection of concrete girder I 125 - 25.60</v>
          </cell>
          <cell r="C133" t="str">
            <v>unit</v>
          </cell>
          <cell r="D133">
            <v>9019643</v>
          </cell>
          <cell r="I133">
            <v>100</v>
          </cell>
        </row>
        <row r="134">
          <cell r="B134" t="str">
            <v>.Erection of concrete girder I 160 - 31.60</v>
          </cell>
          <cell r="C134" t="str">
            <v>unit</v>
          </cell>
          <cell r="D134">
            <v>16453019</v>
          </cell>
          <cell r="I134">
            <v>100</v>
          </cell>
        </row>
        <row r="135">
          <cell r="B135" t="str">
            <v>.Erection of concrete girder I 170 - 40.80</v>
          </cell>
          <cell r="C135" t="str">
            <v>unit</v>
          </cell>
          <cell r="D135">
            <v>25555655</v>
          </cell>
          <cell r="I135">
            <v>100</v>
          </cell>
        </row>
        <row r="136">
          <cell r="B136" t="str">
            <v>.Erection of concrete girder I 090 - 16.60</v>
          </cell>
          <cell r="C136" t="str">
            <v>unit</v>
          </cell>
          <cell r="D136">
            <v>4548969</v>
          </cell>
          <cell r="I136">
            <v>100</v>
          </cell>
        </row>
        <row r="137">
          <cell r="B137" t="str">
            <v>.Erection of RC slab</v>
          </cell>
          <cell r="C137" t="str">
            <v>unit</v>
          </cell>
          <cell r="D137">
            <v>114890</v>
          </cell>
          <cell r="I137">
            <v>100</v>
          </cell>
        </row>
        <row r="138">
          <cell r="B138" t="str">
            <v>.Steel plate girder</v>
          </cell>
          <cell r="C138" t="str">
            <v>ls</v>
          </cell>
          <cell r="D138">
            <v>217445435</v>
          </cell>
          <cell r="G138">
            <v>100</v>
          </cell>
        </row>
        <row r="144">
          <cell r="B144" t="str">
            <v>.Rubber dam</v>
          </cell>
          <cell r="C144" t="str">
            <v>ls</v>
          </cell>
          <cell r="D144">
            <v>2858956466</v>
          </cell>
          <cell r="G144">
            <v>100</v>
          </cell>
        </row>
      </sheetData>
      <sheetData sheetId="5"/>
      <sheetData sheetId="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/>
      <sheetData sheetId="1"/>
      <sheetData sheetId="2"/>
      <sheetData sheetId="3"/>
      <sheetData sheetId="4">
        <row r="10">
          <cell r="B10" t="str">
            <v>INDUSTRIAL MATERIAL</v>
          </cell>
        </row>
        <row r="11">
          <cell r="B11" t="str">
            <v>.Aspal</v>
          </cell>
          <cell r="C11" t="str">
            <v>kg</v>
          </cell>
          <cell r="D11">
            <v>1760</v>
          </cell>
          <cell r="G11">
            <v>100</v>
          </cell>
        </row>
        <row r="12">
          <cell r="B12" t="str">
            <v>.Cement Portland type I 50kg/zak</v>
          </cell>
          <cell r="C12" t="str">
            <v>bag</v>
          </cell>
          <cell r="D12">
            <v>22886</v>
          </cell>
          <cell r="G12">
            <v>100</v>
          </cell>
        </row>
        <row r="13">
          <cell r="B13" t="str">
            <v>.Concrete Girder I 090 - 16,60</v>
          </cell>
          <cell r="C13" t="str">
            <v>unit</v>
          </cell>
          <cell r="D13">
            <v>15814385</v>
          </cell>
          <cell r="G13">
            <v>100</v>
          </cell>
        </row>
        <row r="14">
          <cell r="B14" t="str">
            <v>.Concrete Girder I 125 - 25,80</v>
          </cell>
          <cell r="C14" t="str">
            <v>unit</v>
          </cell>
          <cell r="D14">
            <v>25643483</v>
          </cell>
          <cell r="G14">
            <v>100</v>
          </cell>
        </row>
        <row r="15">
          <cell r="B15" t="str">
            <v>.Concrete Girder I 160 - 31,60</v>
          </cell>
          <cell r="C15" t="str">
            <v>unit</v>
          </cell>
          <cell r="D15">
            <v>37510359</v>
          </cell>
          <cell r="G15">
            <v>100</v>
          </cell>
        </row>
        <row r="16">
          <cell r="B16" t="str">
            <v>.Concrete Girder I 170 - 40,80</v>
          </cell>
          <cell r="C16" t="str">
            <v>unit</v>
          </cell>
          <cell r="D16">
            <v>67685816</v>
          </cell>
          <cell r="G16">
            <v>100</v>
          </cell>
        </row>
        <row r="17">
          <cell r="B17" t="str">
            <v>.Concrete peil (reinforcced)</v>
          </cell>
          <cell r="C17" t="str">
            <v>pcs</v>
          </cell>
          <cell r="D17">
            <v>149259</v>
          </cell>
          <cell r="G17">
            <v>100</v>
          </cell>
        </row>
        <row r="18">
          <cell r="B18" t="str">
            <v xml:space="preserve">.Diafragma ending </v>
          </cell>
          <cell r="C18" t="str">
            <v>unit</v>
          </cell>
          <cell r="D18">
            <v>163399</v>
          </cell>
          <cell r="G18">
            <v>100</v>
          </cell>
        </row>
        <row r="19">
          <cell r="B19" t="str">
            <v xml:space="preserve">.Diafragma ending  </v>
          </cell>
          <cell r="C19" t="str">
            <v>unit</v>
          </cell>
          <cell r="D19">
            <v>208505</v>
          </cell>
          <cell r="G19">
            <v>100</v>
          </cell>
        </row>
        <row r="20">
          <cell r="B20" t="str">
            <v xml:space="preserve">.Diafragma ending   </v>
          </cell>
          <cell r="C20" t="str">
            <v>unit</v>
          </cell>
          <cell r="D20">
            <v>228078</v>
          </cell>
          <cell r="G20">
            <v>100</v>
          </cell>
        </row>
        <row r="21">
          <cell r="B21" t="str">
            <v xml:space="preserve">.Diafragma middle </v>
          </cell>
          <cell r="C21" t="str">
            <v>unit</v>
          </cell>
          <cell r="D21">
            <v>154038</v>
          </cell>
          <cell r="G21">
            <v>100</v>
          </cell>
        </row>
        <row r="22">
          <cell r="B22" t="str">
            <v xml:space="preserve">.Diafragma middle  </v>
          </cell>
          <cell r="C22" t="str">
            <v>unit</v>
          </cell>
          <cell r="D22">
            <v>194888</v>
          </cell>
          <cell r="G22">
            <v>100</v>
          </cell>
        </row>
        <row r="23">
          <cell r="B23" t="str">
            <v xml:space="preserve">.Diafragma middle   </v>
          </cell>
          <cell r="C23" t="str">
            <v>unit</v>
          </cell>
          <cell r="D23">
            <v>235737</v>
          </cell>
          <cell r="G23">
            <v>100</v>
          </cell>
        </row>
        <row r="24">
          <cell r="B24" t="str">
            <v xml:space="preserve">.Diafragma middle    </v>
          </cell>
          <cell r="C24" t="str">
            <v>unit</v>
          </cell>
          <cell r="D24">
            <v>247652</v>
          </cell>
          <cell r="G24">
            <v>100</v>
          </cell>
        </row>
        <row r="25">
          <cell r="B25" t="str">
            <v>.Elastomeric bearing pad 406 x 280 x 67 mm</v>
          </cell>
          <cell r="C25" t="str">
            <v>pcs</v>
          </cell>
          <cell r="D25">
            <v>647411</v>
          </cell>
          <cell r="G25">
            <v>100</v>
          </cell>
        </row>
        <row r="26">
          <cell r="B26" t="str">
            <v>.Elastomeric bearing pad 480 x 300 x 67 mm</v>
          </cell>
          <cell r="C26" t="str">
            <v>pcs</v>
          </cell>
          <cell r="D26">
            <v>836000</v>
          </cell>
          <cell r="G26">
            <v>100</v>
          </cell>
        </row>
        <row r="27">
          <cell r="B27" t="str">
            <v>.Galvanis iron pipe ø 2" - 6 m</v>
          </cell>
          <cell r="C27" t="str">
            <v>pcs</v>
          </cell>
          <cell r="D27">
            <v>163438</v>
          </cell>
          <cell r="G27">
            <v>100</v>
          </cell>
        </row>
        <row r="28">
          <cell r="B28" t="str">
            <v>.Galvanis iron pipe ø 3" - 6 m</v>
          </cell>
          <cell r="C28" t="str">
            <v>pcs</v>
          </cell>
          <cell r="D28">
            <v>296776</v>
          </cell>
          <cell r="G28">
            <v>100</v>
          </cell>
        </row>
        <row r="29">
          <cell r="B29" t="str">
            <v>.Galvanis iron pipe ø 4" - 6 m</v>
          </cell>
          <cell r="C29" t="str">
            <v>pcs</v>
          </cell>
          <cell r="D29">
            <v>427752</v>
          </cell>
          <cell r="G29">
            <v>100</v>
          </cell>
        </row>
        <row r="30">
          <cell r="B30" t="str">
            <v>.Joint Filler 120 x 180 x 10</v>
          </cell>
          <cell r="C30" t="str">
            <v>sheet</v>
          </cell>
          <cell r="D30">
            <v>135577</v>
          </cell>
          <cell r="G30">
            <v>100</v>
          </cell>
        </row>
        <row r="31">
          <cell r="B31" t="str">
            <v>.Maccaferri gabion 3 x 1.5 x 0.5</v>
          </cell>
          <cell r="C31" t="str">
            <v>unit</v>
          </cell>
          <cell r="D31">
            <v>420413</v>
          </cell>
          <cell r="G31">
            <v>100</v>
          </cell>
        </row>
        <row r="32">
          <cell r="B32" t="str">
            <v>.Maccaferri gabion cylinder</v>
          </cell>
          <cell r="C32" t="str">
            <v>unit</v>
          </cell>
          <cell r="D32">
            <v>0</v>
          </cell>
          <cell r="G32">
            <v>100</v>
          </cell>
        </row>
        <row r="33">
          <cell r="B33" t="str">
            <v>.Mowilex paint</v>
          </cell>
          <cell r="C33" t="str">
            <v>kg</v>
          </cell>
          <cell r="D33">
            <v>43534</v>
          </cell>
          <cell r="G33">
            <v>100</v>
          </cell>
        </row>
        <row r="34">
          <cell r="B34" t="str">
            <v>.Multiplek 12 mm</v>
          </cell>
          <cell r="C34" t="str">
            <v>sheet</v>
          </cell>
          <cell r="D34">
            <v>88934</v>
          </cell>
          <cell r="G34">
            <v>100</v>
          </cell>
        </row>
        <row r="35">
          <cell r="B35" t="str">
            <v>.Multiplek 9 mm</v>
          </cell>
          <cell r="C35" t="str">
            <v>sheet</v>
          </cell>
          <cell r="D35">
            <v>77117</v>
          </cell>
          <cell r="G35">
            <v>100</v>
          </cell>
        </row>
        <row r="36">
          <cell r="B36" t="str">
            <v>.Nail</v>
          </cell>
          <cell r="C36" t="str">
            <v>kg</v>
          </cell>
          <cell r="D36">
            <v>4540</v>
          </cell>
          <cell r="G36">
            <v>100</v>
          </cell>
        </row>
        <row r="37">
          <cell r="B37" t="str">
            <v>.Oil form</v>
          </cell>
          <cell r="C37" t="str">
            <v>ltr</v>
          </cell>
          <cell r="D37">
            <v>11816</v>
          </cell>
          <cell r="G37">
            <v>100</v>
          </cell>
        </row>
        <row r="38">
          <cell r="B38" t="str">
            <v>.PC Pile diam. 300 A2</v>
          </cell>
          <cell r="C38" t="str">
            <v>m</v>
          </cell>
          <cell r="D38">
            <v>78871</v>
          </cell>
          <cell r="G38">
            <v>100</v>
          </cell>
        </row>
        <row r="39">
          <cell r="B39" t="str">
            <v>.PC Pile diam. 400 A3</v>
          </cell>
          <cell r="C39" t="str">
            <v>m</v>
          </cell>
          <cell r="D39">
            <v>129980</v>
          </cell>
          <cell r="G39">
            <v>100</v>
          </cell>
        </row>
        <row r="40">
          <cell r="B40" t="str">
            <v>.PC Pile diam. 400 Bo</v>
          </cell>
          <cell r="C40" t="str">
            <v>m</v>
          </cell>
          <cell r="D40">
            <v>77968</v>
          </cell>
          <cell r="G40">
            <v>100</v>
          </cell>
        </row>
        <row r="41">
          <cell r="B41" t="str">
            <v>.PC Pile diam. 600 A3</v>
          </cell>
          <cell r="C41" t="str">
            <v>m</v>
          </cell>
          <cell r="D41">
            <v>264313</v>
          </cell>
          <cell r="G41">
            <v>100</v>
          </cell>
        </row>
        <row r="42">
          <cell r="B42" t="str">
            <v>.Profile L 75 x 75 x 6 mm</v>
          </cell>
          <cell r="C42" t="str">
            <v>kg</v>
          </cell>
          <cell r="D42">
            <v>4291</v>
          </cell>
          <cell r="G42">
            <v>100</v>
          </cell>
        </row>
        <row r="43">
          <cell r="B43" t="str">
            <v>.PVC Pipe diam. 25 mm</v>
          </cell>
          <cell r="C43" t="str">
            <v>m</v>
          </cell>
          <cell r="D43">
            <v>17364</v>
          </cell>
          <cell r="G43">
            <v>100</v>
          </cell>
        </row>
        <row r="44">
          <cell r="B44" t="str">
            <v>.PVC Pipe diam. 50 mm</v>
          </cell>
          <cell r="C44" t="str">
            <v>m</v>
          </cell>
          <cell r="D44">
            <v>40797</v>
          </cell>
          <cell r="G44">
            <v>100</v>
          </cell>
        </row>
        <row r="45">
          <cell r="B45" t="str">
            <v>.RC Pile 400 x 400</v>
          </cell>
          <cell r="C45" t="str">
            <v>m</v>
          </cell>
          <cell r="D45">
            <v>111945</v>
          </cell>
          <cell r="G45">
            <v>100</v>
          </cell>
        </row>
        <row r="46">
          <cell r="B46" t="str">
            <v>.RC Pipe dia. 60 cm , L = 1.25 m</v>
          </cell>
          <cell r="C46" t="str">
            <v>unit</v>
          </cell>
          <cell r="D46">
            <v>257658</v>
          </cell>
          <cell r="G46">
            <v>100</v>
          </cell>
        </row>
        <row r="47">
          <cell r="B47" t="str">
            <v>.RC slab</v>
          </cell>
          <cell r="C47" t="str">
            <v>unit</v>
          </cell>
          <cell r="D47">
            <v>181598</v>
          </cell>
          <cell r="G47">
            <v>100</v>
          </cell>
        </row>
        <row r="48">
          <cell r="B48" t="str">
            <v xml:space="preserve">.RC slab </v>
          </cell>
          <cell r="C48" t="str">
            <v>unit</v>
          </cell>
          <cell r="D48">
            <v>180355</v>
          </cell>
          <cell r="G48">
            <v>100</v>
          </cell>
        </row>
        <row r="49">
          <cell r="B49" t="str">
            <v xml:space="preserve">.RC slab    </v>
          </cell>
          <cell r="C49" t="str">
            <v>unit</v>
          </cell>
          <cell r="D49">
            <v>179111</v>
          </cell>
          <cell r="G49">
            <v>100</v>
          </cell>
        </row>
        <row r="50">
          <cell r="B50" t="str">
            <v>.RC  Slab</v>
          </cell>
          <cell r="C50" t="str">
            <v>unit</v>
          </cell>
          <cell r="D50">
            <v>165858.75</v>
          </cell>
          <cell r="G50">
            <v>100</v>
          </cell>
        </row>
        <row r="51">
          <cell r="B51" t="str">
            <v>.Reinforcement deform bar</v>
          </cell>
          <cell r="C51" t="str">
            <v>kg</v>
          </cell>
          <cell r="D51">
            <v>2848</v>
          </cell>
          <cell r="G51">
            <v>100</v>
          </cell>
        </row>
        <row r="52">
          <cell r="B52" t="str">
            <v>.Reinforcement plain bar</v>
          </cell>
          <cell r="C52" t="str">
            <v>kg</v>
          </cell>
          <cell r="D52">
            <v>2716</v>
          </cell>
          <cell r="G52">
            <v>100</v>
          </cell>
        </row>
        <row r="53">
          <cell r="B53" t="str">
            <v>.SP Pile ø 400 mm</v>
          </cell>
          <cell r="C53" t="str">
            <v>m</v>
          </cell>
          <cell r="D53">
            <v>271762</v>
          </cell>
          <cell r="G53">
            <v>100</v>
          </cell>
        </row>
        <row r="54">
          <cell r="B54" t="str">
            <v>.Steel sheet pile w= 40 cm</v>
          </cell>
          <cell r="C54" t="str">
            <v>m</v>
          </cell>
          <cell r="D54">
            <v>228239</v>
          </cell>
          <cell r="G54">
            <v>100</v>
          </cell>
        </row>
        <row r="55">
          <cell r="B55" t="str">
            <v>.Water stop welding</v>
          </cell>
          <cell r="C55" t="str">
            <v>unit</v>
          </cell>
          <cell r="D55">
            <v>310956</v>
          </cell>
          <cell r="G55">
            <v>100</v>
          </cell>
        </row>
        <row r="56">
          <cell r="B56" t="str">
            <v>.Water stop w=320 mm</v>
          </cell>
          <cell r="C56" t="str">
            <v>m</v>
          </cell>
          <cell r="D56">
            <v>113923</v>
          </cell>
          <cell r="G56">
            <v>100</v>
          </cell>
        </row>
        <row r="57">
          <cell r="B57" t="str">
            <v>.Welding rod</v>
          </cell>
          <cell r="C57" t="str">
            <v>kg</v>
          </cell>
          <cell r="D57">
            <v>13682</v>
          </cell>
          <cell r="G57">
            <v>100</v>
          </cell>
        </row>
        <row r="58">
          <cell r="B58" t="str">
            <v>.Wire</v>
          </cell>
          <cell r="C58" t="str">
            <v>kg</v>
          </cell>
          <cell r="D58">
            <v>4795</v>
          </cell>
          <cell r="G58">
            <v>100</v>
          </cell>
        </row>
        <row r="59">
          <cell r="B59" t="str">
            <v>.Wire for Gabion</v>
          </cell>
          <cell r="C59" t="str">
            <v>kg</v>
          </cell>
          <cell r="D59">
            <v>4565</v>
          </cell>
          <cell r="G59">
            <v>100</v>
          </cell>
        </row>
        <row r="60">
          <cell r="B60" t="str">
            <v>.Sunny hose ø 4"</v>
          </cell>
          <cell r="C60" t="str">
            <v>m</v>
          </cell>
          <cell r="D60">
            <v>18657</v>
          </cell>
          <cell r="G60">
            <v>100</v>
          </cell>
        </row>
        <row r="61">
          <cell r="B61" t="str">
            <v>.Supply material R.Dam</v>
          </cell>
          <cell r="C61" t="str">
            <v>unit</v>
          </cell>
          <cell r="D61">
            <v>2635956637.3000002</v>
          </cell>
          <cell r="G61">
            <v>100</v>
          </cell>
        </row>
        <row r="64">
          <cell r="B64" t="str">
            <v>NATURAL MATERIAL</v>
          </cell>
        </row>
        <row r="65">
          <cell r="B65" t="str">
            <v>.Crusher run</v>
          </cell>
          <cell r="C65" t="str">
            <v xml:space="preserve">m³ </v>
          </cell>
          <cell r="D65">
            <v>95071</v>
          </cell>
          <cell r="G65">
            <v>100</v>
          </cell>
        </row>
        <row r="66">
          <cell r="B66" t="str">
            <v xml:space="preserve">.Gravel </v>
          </cell>
          <cell r="C66" t="str">
            <v xml:space="preserve">m³ </v>
          </cell>
          <cell r="D66">
            <v>55225</v>
          </cell>
          <cell r="G66">
            <v>100</v>
          </cell>
        </row>
        <row r="67">
          <cell r="B67" t="str">
            <v>.Log pile ø 6 " - 4 m</v>
          </cell>
          <cell r="C67" t="str">
            <v>pcs</v>
          </cell>
          <cell r="D67">
            <v>13085</v>
          </cell>
          <cell r="G67">
            <v>100</v>
          </cell>
        </row>
        <row r="68">
          <cell r="B68" t="str">
            <v>.Palm fibre</v>
          </cell>
          <cell r="C68" t="str">
            <v>kg</v>
          </cell>
          <cell r="D68">
            <v>2180</v>
          </cell>
          <cell r="G68">
            <v>100</v>
          </cell>
        </row>
        <row r="69">
          <cell r="B69" t="str">
            <v>.River stone</v>
          </cell>
          <cell r="C69" t="str">
            <v xml:space="preserve">m³ </v>
          </cell>
          <cell r="D69">
            <v>37544</v>
          </cell>
          <cell r="G69">
            <v>100</v>
          </cell>
        </row>
        <row r="70">
          <cell r="B70" t="str">
            <v>.Sand</v>
          </cell>
          <cell r="C70" t="str">
            <v xml:space="preserve">m³ </v>
          </cell>
          <cell r="D70">
            <v>31488</v>
          </cell>
          <cell r="G70">
            <v>100</v>
          </cell>
        </row>
        <row r="71">
          <cell r="B71" t="str">
            <v>.Split 2/3</v>
          </cell>
          <cell r="C71" t="str">
            <v xml:space="preserve">m³ </v>
          </cell>
          <cell r="D71">
            <v>73150</v>
          </cell>
          <cell r="G71">
            <v>100</v>
          </cell>
        </row>
        <row r="72">
          <cell r="B72" t="str">
            <v>.Wooden for bekisting</v>
          </cell>
          <cell r="C72" t="str">
            <v xml:space="preserve">m³ </v>
          </cell>
          <cell r="D72">
            <v>1307980</v>
          </cell>
          <cell r="G72">
            <v>100</v>
          </cell>
        </row>
        <row r="73">
          <cell r="B73" t="str">
            <v>.Sodding</v>
          </cell>
          <cell r="C73" t="str">
            <v xml:space="preserve">m² </v>
          </cell>
          <cell r="D73">
            <v>4845</v>
          </cell>
          <cell r="G73">
            <v>100</v>
          </cell>
        </row>
        <row r="74">
          <cell r="B74" t="str">
            <v>.Wood</v>
          </cell>
          <cell r="C74" t="str">
            <v xml:space="preserve">m³ </v>
          </cell>
          <cell r="D74">
            <v>1307980</v>
          </cell>
          <cell r="G74">
            <v>100</v>
          </cell>
        </row>
        <row r="78">
          <cell r="B78" t="str">
            <v>LABOUR</v>
          </cell>
        </row>
        <row r="79">
          <cell r="B79" t="str">
            <v>.Carpenter</v>
          </cell>
          <cell r="C79" t="str">
            <v>man.day</v>
          </cell>
          <cell r="D79">
            <v>30114</v>
          </cell>
          <cell r="F79">
            <v>100</v>
          </cell>
        </row>
        <row r="80">
          <cell r="B80" t="str">
            <v>.Foreman</v>
          </cell>
          <cell r="C80" t="str">
            <v>man.day</v>
          </cell>
          <cell r="D80">
            <v>36660</v>
          </cell>
          <cell r="F80">
            <v>100</v>
          </cell>
        </row>
        <row r="81">
          <cell r="B81" t="str">
            <v>.Ironsmith</v>
          </cell>
          <cell r="C81" t="str">
            <v>man.day</v>
          </cell>
          <cell r="D81">
            <v>26840</v>
          </cell>
          <cell r="F81">
            <v>100</v>
          </cell>
        </row>
        <row r="82">
          <cell r="B82" t="str">
            <v>.Mason</v>
          </cell>
          <cell r="C82" t="str">
            <v>man.day</v>
          </cell>
          <cell r="D82">
            <v>26840</v>
          </cell>
          <cell r="F82">
            <v>100</v>
          </cell>
        </row>
        <row r="83">
          <cell r="B83" t="str">
            <v>.Mechanic</v>
          </cell>
          <cell r="C83" t="str">
            <v>man.day</v>
          </cell>
          <cell r="D83">
            <v>30114</v>
          </cell>
          <cell r="F83">
            <v>100</v>
          </cell>
        </row>
        <row r="84">
          <cell r="B84" t="str">
            <v>.Operator</v>
          </cell>
          <cell r="C84" t="str">
            <v>man.day</v>
          </cell>
          <cell r="D84">
            <v>23567</v>
          </cell>
          <cell r="F84">
            <v>100</v>
          </cell>
        </row>
        <row r="85">
          <cell r="B85" t="str">
            <v>.Skilled labour</v>
          </cell>
          <cell r="C85" t="str">
            <v>man.day</v>
          </cell>
          <cell r="D85">
            <v>30114</v>
          </cell>
          <cell r="F85">
            <v>100</v>
          </cell>
        </row>
        <row r="86">
          <cell r="B86" t="str">
            <v>.Unskilled labour</v>
          </cell>
          <cell r="C86" t="str">
            <v>man.day</v>
          </cell>
          <cell r="D86">
            <v>19639</v>
          </cell>
          <cell r="F86">
            <v>100</v>
          </cell>
        </row>
        <row r="87">
          <cell r="B87" t="str">
            <v>.Welder</v>
          </cell>
          <cell r="C87" t="str">
            <v>man.day</v>
          </cell>
          <cell r="D87">
            <v>30114</v>
          </cell>
          <cell r="F87">
            <v>100</v>
          </cell>
        </row>
        <row r="88">
          <cell r="B88" t="str">
            <v>.Install R. Dam</v>
          </cell>
          <cell r="C88" t="str">
            <v>unit</v>
          </cell>
          <cell r="D88">
            <v>222999828.78</v>
          </cell>
          <cell r="F88">
            <v>100</v>
          </cell>
        </row>
        <row r="91">
          <cell r="B91" t="str">
            <v>EQUIPMENT</v>
          </cell>
        </row>
        <row r="92">
          <cell r="B92" t="str">
            <v>.Air Compressor 175 cfm</v>
          </cell>
          <cell r="C92" t="str">
            <v>hour</v>
          </cell>
          <cell r="D92">
            <v>16107</v>
          </cell>
          <cell r="H92">
            <v>27.453902030173211</v>
          </cell>
          <cell r="I92">
            <v>72.546097969826789</v>
          </cell>
        </row>
        <row r="93">
          <cell r="B93" t="str">
            <v>.Baby roller</v>
          </cell>
          <cell r="C93" t="str">
            <v>hour</v>
          </cell>
          <cell r="D93">
            <v>5965</v>
          </cell>
          <cell r="H93">
            <v>67.139473012864897</v>
          </cell>
          <cell r="I93">
            <v>32.860526987135096</v>
          </cell>
        </row>
        <row r="94">
          <cell r="B94" t="str">
            <v>.Bar bender</v>
          </cell>
          <cell r="C94" t="str">
            <v>hour</v>
          </cell>
          <cell r="D94">
            <v>2422</v>
          </cell>
          <cell r="H94">
            <v>0</v>
          </cell>
          <cell r="I94">
            <v>100</v>
          </cell>
        </row>
        <row r="95">
          <cell r="B95" t="str">
            <v>.Bar cutter</v>
          </cell>
          <cell r="C95" t="str">
            <v>hour</v>
          </cell>
          <cell r="D95">
            <v>2422</v>
          </cell>
          <cell r="H95">
            <v>0</v>
          </cell>
          <cell r="I95">
            <v>100</v>
          </cell>
        </row>
        <row r="96">
          <cell r="B96" t="str">
            <v>.Bulldozer D7G</v>
          </cell>
          <cell r="C96" t="str">
            <v>hour</v>
          </cell>
          <cell r="D96">
            <v>257139</v>
          </cell>
          <cell r="H96">
            <v>11.783808470682047</v>
          </cell>
          <cell r="I96">
            <v>88.216191529317953</v>
          </cell>
        </row>
        <row r="97">
          <cell r="B97" t="str">
            <v>.Chain saw</v>
          </cell>
          <cell r="C97" t="str">
            <v>hour</v>
          </cell>
          <cell r="D97">
            <v>11385</v>
          </cell>
          <cell r="H97">
            <v>2.9797101449275365</v>
          </cell>
          <cell r="I97">
            <v>97.020289855072463</v>
          </cell>
        </row>
        <row r="98">
          <cell r="B98" t="str">
            <v>.Chute</v>
          </cell>
          <cell r="C98" t="str">
            <v>unit</v>
          </cell>
          <cell r="D98">
            <v>302774</v>
          </cell>
          <cell r="H98">
            <v>0</v>
          </cell>
          <cell r="I98">
            <v>100</v>
          </cell>
        </row>
        <row r="99">
          <cell r="B99" t="str">
            <v>.Concrete mixer 350 liter</v>
          </cell>
          <cell r="C99" t="str">
            <v>hour</v>
          </cell>
          <cell r="D99">
            <v>4421</v>
          </cell>
          <cell r="H99">
            <v>2.5378873558018546</v>
          </cell>
          <cell r="I99">
            <v>97.462112644198157</v>
          </cell>
        </row>
        <row r="100">
          <cell r="B100" t="str">
            <v>.Concrete mixer 400 lt winget</v>
          </cell>
          <cell r="C100" t="str">
            <v>hour</v>
          </cell>
          <cell r="D100">
            <v>29760</v>
          </cell>
          <cell r="H100">
            <v>0.37701612903225806</v>
          </cell>
          <cell r="I100">
            <v>99.622983870967744</v>
          </cell>
        </row>
        <row r="101">
          <cell r="B101" t="str">
            <v>.Concrete vibrator</v>
          </cell>
          <cell r="C101" t="str">
            <v>hour</v>
          </cell>
          <cell r="D101">
            <v>4804</v>
          </cell>
          <cell r="H101">
            <v>5.495420482930891</v>
          </cell>
          <cell r="I101">
            <v>94.504579517069104</v>
          </cell>
        </row>
        <row r="102">
          <cell r="B102" t="str">
            <v>.Crawler crane 40 ton</v>
          </cell>
          <cell r="C102" t="str">
            <v>hour</v>
          </cell>
          <cell r="D102">
            <v>167615</v>
          </cell>
          <cell r="H102">
            <v>17.418433868322495</v>
          </cell>
          <cell r="I102">
            <v>82.581566131677505</v>
          </cell>
        </row>
        <row r="103">
          <cell r="B103" t="str">
            <v>.Dump truck 8 ton</v>
          </cell>
          <cell r="C103" t="str">
            <v>hour</v>
          </cell>
          <cell r="D103">
            <v>48807</v>
          </cell>
          <cell r="H103">
            <v>22.284390991041128</v>
          </cell>
          <cell r="I103">
            <v>77.715609008958879</v>
          </cell>
        </row>
        <row r="104">
          <cell r="B104" t="str">
            <v>.Excavator Long arm PC-200</v>
          </cell>
          <cell r="C104" t="str">
            <v>hour</v>
          </cell>
          <cell r="D104">
            <v>206855</v>
          </cell>
          <cell r="H104">
            <v>9.6995183190765655</v>
          </cell>
          <cell r="I104">
            <v>90.300481680923426</v>
          </cell>
        </row>
        <row r="105">
          <cell r="B105" t="str">
            <v>.Excavator PC-200</v>
          </cell>
          <cell r="C105" t="str">
            <v>hour</v>
          </cell>
          <cell r="D105">
            <v>164466</v>
          </cell>
          <cell r="H105">
            <v>12.199444638360408</v>
          </cell>
          <cell r="I105">
            <v>87.800555361639582</v>
          </cell>
        </row>
        <row r="106">
          <cell r="B106" t="str">
            <v>.Genset 45 KVA</v>
          </cell>
          <cell r="C106" t="str">
            <v>hour</v>
          </cell>
          <cell r="D106">
            <v>14835</v>
          </cell>
          <cell r="H106">
            <v>26.83310414560162</v>
          </cell>
          <cell r="I106">
            <v>73.166895854398376</v>
          </cell>
        </row>
        <row r="107">
          <cell r="B107" t="str">
            <v>.Pick hammer 30 kg</v>
          </cell>
          <cell r="C107" t="str">
            <v>hour</v>
          </cell>
          <cell r="D107">
            <v>7569</v>
          </cell>
          <cell r="H107">
            <v>0</v>
          </cell>
          <cell r="I107">
            <v>100</v>
          </cell>
        </row>
        <row r="108">
          <cell r="B108" t="str">
            <v>.Piling equipment ( crane 25t &amp; hammer K-25 )</v>
          </cell>
          <cell r="C108" t="str">
            <v>month</v>
          </cell>
          <cell r="D108">
            <v>48443712</v>
          </cell>
          <cell r="H108">
            <v>0</v>
          </cell>
          <cell r="I108">
            <v>100</v>
          </cell>
        </row>
        <row r="109">
          <cell r="B109" t="str">
            <v>.Vibro roller CA-25</v>
          </cell>
          <cell r="C109" t="str">
            <v>hour</v>
          </cell>
          <cell r="D109">
            <v>116023</v>
          </cell>
          <cell r="H109">
            <v>17.293070011054557</v>
          </cell>
          <cell r="I109">
            <v>82.706929988945433</v>
          </cell>
        </row>
        <row r="110">
          <cell r="B110" t="str">
            <v>.Water pump 4"</v>
          </cell>
          <cell r="C110" t="str">
            <v>hour</v>
          </cell>
          <cell r="D110">
            <v>3634</v>
          </cell>
          <cell r="H110">
            <v>18.161805173362687</v>
          </cell>
          <cell r="I110">
            <v>81.838194826637306</v>
          </cell>
        </row>
        <row r="111">
          <cell r="B111" t="str">
            <v>.Water tank 5000 lt</v>
          </cell>
          <cell r="C111" t="str">
            <v>hour</v>
          </cell>
          <cell r="D111">
            <v>59465</v>
          </cell>
          <cell r="H111">
            <v>14.93496034440083</v>
          </cell>
          <cell r="I111">
            <v>85.065039655599179</v>
          </cell>
        </row>
        <row r="112">
          <cell r="B112" t="str">
            <v>.Welder machine + genset</v>
          </cell>
          <cell r="C112" t="str">
            <v>hour</v>
          </cell>
          <cell r="D112">
            <v>18166</v>
          </cell>
          <cell r="H112">
            <v>21.912864692282287</v>
          </cell>
          <cell r="I112">
            <v>78.087135307717716</v>
          </cell>
        </row>
        <row r="113">
          <cell r="B113" t="str">
            <v>.Concrete pump 85 m3</v>
          </cell>
          <cell r="C113" t="str">
            <v>hour</v>
          </cell>
          <cell r="D113">
            <v>222115</v>
          </cell>
          <cell r="H113">
            <v>8.4899339890576488</v>
          </cell>
          <cell r="I113">
            <v>91.510066010942353</v>
          </cell>
        </row>
        <row r="116">
          <cell r="B116" t="str">
            <v>.Tools</v>
          </cell>
          <cell r="C116" t="str">
            <v>ls</v>
          </cell>
          <cell r="I116">
            <v>100</v>
          </cell>
        </row>
        <row r="118">
          <cell r="B118" t="str">
            <v>SUBCONTRACTOR</v>
          </cell>
        </row>
        <row r="119">
          <cell r="B119" t="str">
            <v>.Concrete block crib t 20 cm</v>
          </cell>
          <cell r="C119" t="str">
            <v>nos</v>
          </cell>
          <cell r="D119">
            <v>121109</v>
          </cell>
          <cell r="G119">
            <v>100</v>
          </cell>
        </row>
        <row r="120">
          <cell r="B120" t="str">
            <v>.Control house</v>
          </cell>
          <cell r="C120" t="str">
            <v xml:space="preserve">m² </v>
          </cell>
          <cell r="D120">
            <v>787210</v>
          </cell>
          <cell r="G120">
            <v>100</v>
          </cell>
        </row>
        <row r="121">
          <cell r="B121" t="str">
            <v>.Flap gate ø 600 mm</v>
          </cell>
          <cell r="C121" t="str">
            <v>unit</v>
          </cell>
          <cell r="D121">
            <v>18166392</v>
          </cell>
          <cell r="G121">
            <v>100</v>
          </cell>
        </row>
        <row r="122">
          <cell r="B122" t="str">
            <v>.Name plate</v>
          </cell>
          <cell r="C122" t="str">
            <v>unit</v>
          </cell>
          <cell r="D122">
            <v>908320</v>
          </cell>
          <cell r="G122">
            <v>100</v>
          </cell>
        </row>
        <row r="123">
          <cell r="B123" t="str">
            <v>.Piling work PC pile ø 60 cm</v>
          </cell>
          <cell r="C123" t="str">
            <v>m</v>
          </cell>
          <cell r="D123">
            <v>54499</v>
          </cell>
          <cell r="I123">
            <v>100</v>
          </cell>
        </row>
        <row r="124">
          <cell r="B124" t="str">
            <v>.Piling work PC pile or SP Pile ø 30 cm or ø 35 cm</v>
          </cell>
          <cell r="C124" t="str">
            <v>m</v>
          </cell>
          <cell r="D124">
            <v>42388</v>
          </cell>
          <cell r="I124">
            <v>100</v>
          </cell>
        </row>
        <row r="125">
          <cell r="B125" t="str">
            <v>.Piling work PC pile or SP Pile ø 40 cm or ø 50 cm</v>
          </cell>
          <cell r="C125" t="str">
            <v>m</v>
          </cell>
          <cell r="D125">
            <v>42388</v>
          </cell>
          <cell r="I125">
            <v>100</v>
          </cell>
        </row>
        <row r="126">
          <cell r="B126" t="str">
            <v>.Ready mix K-350 for B</v>
          </cell>
          <cell r="C126" t="str">
            <v xml:space="preserve">m³ </v>
          </cell>
          <cell r="D126">
            <v>333051</v>
          </cell>
          <cell r="G126">
            <v>100</v>
          </cell>
        </row>
        <row r="127">
          <cell r="B127" t="str">
            <v>.Static loading test</v>
          </cell>
          <cell r="C127" t="str">
            <v>nos</v>
          </cell>
          <cell r="D127">
            <v>18166392</v>
          </cell>
          <cell r="I127">
            <v>100</v>
          </cell>
        </row>
        <row r="128">
          <cell r="B128" t="str">
            <v>.Steel sheet piling work</v>
          </cell>
          <cell r="C128" t="str">
            <v>m</v>
          </cell>
          <cell r="D128">
            <v>42388</v>
          </cell>
          <cell r="I128">
            <v>100</v>
          </cell>
        </row>
        <row r="129">
          <cell r="B129" t="str">
            <v>.Steel slide gate (H= 1m, B= 1m, x 2)</v>
          </cell>
          <cell r="C129" t="str">
            <v>unit</v>
          </cell>
          <cell r="D129">
            <v>8233732</v>
          </cell>
          <cell r="G129">
            <v>100</v>
          </cell>
        </row>
        <row r="130">
          <cell r="B130" t="str">
            <v>.Steel slide gate (H= 1m, B= 1,25m, x 2)</v>
          </cell>
          <cell r="C130" t="str">
            <v>unit</v>
          </cell>
          <cell r="D130">
            <v>8890335</v>
          </cell>
          <cell r="G130">
            <v>100</v>
          </cell>
        </row>
        <row r="131">
          <cell r="B131" t="str">
            <v>.Steel slide gate (H= 1,5m, B= 2m, x 2)</v>
          </cell>
          <cell r="C131" t="str">
            <v>unit</v>
          </cell>
          <cell r="D131">
            <v>12573526</v>
          </cell>
          <cell r="G131">
            <v>100</v>
          </cell>
        </row>
        <row r="132">
          <cell r="B132" t="str">
            <v>.Erection Diafragma wall</v>
          </cell>
          <cell r="C132" t="str">
            <v>unit</v>
          </cell>
          <cell r="D132">
            <v>170207</v>
          </cell>
          <cell r="I132">
            <v>100</v>
          </cell>
        </row>
        <row r="133">
          <cell r="B133" t="str">
            <v>.Erection of concrete girder I 125 - 25.60</v>
          </cell>
          <cell r="C133" t="str">
            <v>unit</v>
          </cell>
          <cell r="D133">
            <v>9019643</v>
          </cell>
          <cell r="I133">
            <v>100</v>
          </cell>
        </row>
        <row r="134">
          <cell r="B134" t="str">
            <v>.Erection of concrete girder I 160 - 31.60</v>
          </cell>
          <cell r="C134" t="str">
            <v>unit</v>
          </cell>
          <cell r="D134">
            <v>16453019</v>
          </cell>
          <cell r="I134">
            <v>100</v>
          </cell>
        </row>
        <row r="135">
          <cell r="B135" t="str">
            <v>.Erection of concrete girder I 170 - 40.80</v>
          </cell>
          <cell r="C135" t="str">
            <v>unit</v>
          </cell>
          <cell r="D135">
            <v>25555655</v>
          </cell>
          <cell r="I135">
            <v>100</v>
          </cell>
        </row>
        <row r="136">
          <cell r="B136" t="str">
            <v>.Erection of concrete girder I 090 - 16.60</v>
          </cell>
          <cell r="C136" t="str">
            <v>unit</v>
          </cell>
          <cell r="D136">
            <v>4548969</v>
          </cell>
          <cell r="I136">
            <v>100</v>
          </cell>
        </row>
        <row r="137">
          <cell r="B137" t="str">
            <v>.Erection of RC slab</v>
          </cell>
          <cell r="C137" t="str">
            <v>unit</v>
          </cell>
          <cell r="D137">
            <v>114890</v>
          </cell>
          <cell r="I137">
            <v>100</v>
          </cell>
        </row>
        <row r="138">
          <cell r="B138" t="str">
            <v>.Steel plate girder</v>
          </cell>
          <cell r="C138" t="str">
            <v>ls</v>
          </cell>
          <cell r="D138">
            <v>217445435</v>
          </cell>
          <cell r="G138">
            <v>100</v>
          </cell>
        </row>
        <row r="144">
          <cell r="B144" t="str">
            <v>.Rubber dam</v>
          </cell>
          <cell r="C144" t="str">
            <v>ls</v>
          </cell>
          <cell r="D144">
            <v>2858956466</v>
          </cell>
          <cell r="G144">
            <v>100</v>
          </cell>
        </row>
      </sheetData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"/>
      <sheetName val="Gal Tnp Cold Mllng"/>
      <sheetName val="Gal Cold Milling"/>
      <sheetName val="Pekrjaan Pk Jack Hammer"/>
    </sheetNames>
    <sheetDataSet>
      <sheetData sheetId="0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ADB Earthquake and Tsunami Emergency Support Project (ETESP)</v>
          </cell>
        </row>
        <row r="849">
          <cell r="L849" t="str">
            <v>No. PAKET KONTRAK</v>
          </cell>
          <cell r="O849" t="str">
            <v>: Package 4 East Coast Road 1</v>
          </cell>
        </row>
        <row r="850">
          <cell r="L850" t="str">
            <v>NAMA PAKET</v>
          </cell>
          <cell r="O850" t="str">
            <v>: Contract XI</v>
          </cell>
        </row>
        <row r="851">
          <cell r="L851" t="str">
            <v>PROP / KAB / KODYA</v>
          </cell>
          <cell r="O851" t="str">
            <v>: Nanggroe Aceh Darussalam (NAD)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18400.91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1212943272.9887002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2.8082110089709036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5.7117358322177597E-2</v>
          </cell>
          <cell r="R864">
            <v>5857</v>
          </cell>
          <cell r="U864">
            <v>334.53636769299419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1.4279339580544399E-2</v>
          </cell>
          <cell r="R865">
            <v>8357</v>
          </cell>
          <cell r="U865">
            <v>119.33244087460955</v>
          </cell>
        </row>
        <row r="868">
          <cell r="Q868" t="str">
            <v xml:space="preserve">JUMLAH HARGA TENAGA   </v>
          </cell>
          <cell r="U868">
            <v>453.86880856760376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Timb. Pilihan</v>
          </cell>
          <cell r="O872" t="str">
            <v>(M10)</v>
          </cell>
          <cell r="P872" t="str">
            <v>M3</v>
          </cell>
          <cell r="Q872">
            <v>1.2</v>
          </cell>
          <cell r="R872">
            <v>16000</v>
          </cell>
          <cell r="U872">
            <v>19200</v>
          </cell>
        </row>
        <row r="878">
          <cell r="Q878" t="str">
            <v xml:space="preserve">JUMLAH HARGA BAHAN   </v>
          </cell>
          <cell r="U878">
            <v>19200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1.4279339580544399E-2</v>
          </cell>
          <cell r="R881">
            <v>287706.91953343368</v>
          </cell>
          <cell r="U881">
            <v>4108.2648036902619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0.15261044176706831</v>
          </cell>
          <cell r="R882">
            <v>174093.91109438831</v>
          </cell>
          <cell r="U882">
            <v>26568.548681071316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8.9245872378402504E-3</v>
          </cell>
          <cell r="R883">
            <v>297313.52187701571</v>
          </cell>
          <cell r="U883">
            <v>2653.4004629809524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1.0040160642570281E-2</v>
          </cell>
          <cell r="R884">
            <v>204991.99098360655</v>
          </cell>
          <cell r="U884">
            <v>2058.1525199157286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2.1084337349397592E-2</v>
          </cell>
          <cell r="R885">
            <v>160442.56981294346</v>
          </cell>
          <cell r="U885">
            <v>3382.8252671403743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1500</v>
          </cell>
          <cell r="U886">
            <v>1500</v>
          </cell>
        </row>
        <row r="890">
          <cell r="Q890" t="str">
            <v xml:space="preserve">JUMLAH HARGA PERALATAN   </v>
          </cell>
          <cell r="U890">
            <v>40271.191734798631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59925.060543366235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5992.5060543366235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65917.566597702855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/>
      <sheetData sheetId="2"/>
      <sheetData sheetId="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>
        <row r="13">
          <cell r="I13" t="str">
            <v>%</v>
          </cell>
        </row>
        <row r="14">
          <cell r="I14" t="str">
            <v>%</v>
          </cell>
        </row>
        <row r="15">
          <cell r="I15" t="str">
            <v>%</v>
          </cell>
        </row>
        <row r="16">
          <cell r="I16" t="str">
            <v>%</v>
          </cell>
        </row>
        <row r="17">
          <cell r="I17" t="str">
            <v>Ton/M3</v>
          </cell>
        </row>
        <row r="18">
          <cell r="I18" t="str">
            <v>Ton/M3</v>
          </cell>
        </row>
        <row r="19">
          <cell r="I19" t="str">
            <v>Ton/M3</v>
          </cell>
        </row>
        <row r="20">
          <cell r="I20" t="str">
            <v>Rp./M3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PRICE"/>
      <sheetName val="UNIT PRICE2"/>
      <sheetName val="EQUIPMENT"/>
      <sheetName val="BASIC PRICE"/>
      <sheetName val="FACTOR"/>
      <sheetName val="INDEX"/>
      <sheetName val="BPS"/>
      <sheetName val="RATIO"/>
      <sheetName val="BREAKDWN"/>
      <sheetName val="1st"/>
      <sheetName val="2nd"/>
      <sheetName val="3rd"/>
      <sheetName val="4th"/>
      <sheetName val="5th"/>
      <sheetName val="6th "/>
      <sheetName val="SUM1"/>
      <sheetName val="SUM2"/>
      <sheetName val="SUM3"/>
      <sheetName val="SUM4"/>
      <sheetName val="SUM5"/>
      <sheetName val="SUM6"/>
      <sheetName val="TOTA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F24" t="str">
            <v>DW</v>
          </cell>
          <cell r="G24">
            <v>15</v>
          </cell>
          <cell r="H24">
            <v>10</v>
          </cell>
          <cell r="I24">
            <v>60</v>
          </cell>
          <cell r="J24">
            <v>13</v>
          </cell>
          <cell r="K24">
            <v>2</v>
          </cell>
          <cell r="L24">
            <v>0</v>
          </cell>
          <cell r="M24">
            <v>9.0300000000000005E-2</v>
          </cell>
        </row>
        <row r="25">
          <cell r="F25" t="str">
            <v>EW</v>
          </cell>
          <cell r="G25">
            <v>15</v>
          </cell>
          <cell r="H25">
            <v>1</v>
          </cell>
          <cell r="I25">
            <v>69</v>
          </cell>
          <cell r="J25">
            <v>15</v>
          </cell>
          <cell r="K25">
            <v>0</v>
          </cell>
          <cell r="L25">
            <v>0</v>
          </cell>
          <cell r="M25">
            <v>4.1200000000000001E-2</v>
          </cell>
        </row>
        <row r="26">
          <cell r="F26" t="str">
            <v>CW</v>
          </cell>
          <cell r="G26">
            <v>15</v>
          </cell>
          <cell r="H26">
            <v>7</v>
          </cell>
          <cell r="I26">
            <v>12</v>
          </cell>
          <cell r="J26">
            <v>0</v>
          </cell>
          <cell r="K26">
            <v>66</v>
          </cell>
          <cell r="L26">
            <v>0</v>
          </cell>
          <cell r="M26">
            <v>0.16619999999999999</v>
          </cell>
        </row>
        <row r="27">
          <cell r="F27" t="str">
            <v>RW</v>
          </cell>
          <cell r="G27">
            <v>15</v>
          </cell>
          <cell r="H27">
            <v>7</v>
          </cell>
          <cell r="I27">
            <v>1</v>
          </cell>
          <cell r="J27">
            <v>0</v>
          </cell>
          <cell r="K27">
            <v>77</v>
          </cell>
          <cell r="L27">
            <v>0</v>
          </cell>
          <cell r="M27">
            <v>0.15260000000000001</v>
          </cell>
        </row>
        <row r="28">
          <cell r="F28" t="str">
            <v>PW</v>
          </cell>
          <cell r="G28">
            <v>15</v>
          </cell>
          <cell r="H28">
            <v>2</v>
          </cell>
          <cell r="I28">
            <v>17</v>
          </cell>
          <cell r="J28">
            <v>0</v>
          </cell>
          <cell r="K28">
            <v>66</v>
          </cell>
          <cell r="L28">
            <v>0</v>
          </cell>
          <cell r="M28">
            <v>0.14019999999999999</v>
          </cell>
        </row>
        <row r="29">
          <cell r="F29" t="str">
            <v>SW</v>
          </cell>
          <cell r="G29">
            <v>15</v>
          </cell>
          <cell r="H29">
            <v>15</v>
          </cell>
          <cell r="I29">
            <v>0</v>
          </cell>
          <cell r="J29">
            <v>0</v>
          </cell>
          <cell r="K29">
            <v>70</v>
          </cell>
          <cell r="L29">
            <v>0</v>
          </cell>
          <cell r="M29">
            <v>0.21379999999999999</v>
          </cell>
        </row>
        <row r="30">
          <cell r="F30" t="str">
            <v>RP</v>
          </cell>
          <cell r="G30">
            <v>15</v>
          </cell>
          <cell r="H30">
            <v>5</v>
          </cell>
          <cell r="I30">
            <v>5</v>
          </cell>
          <cell r="J30">
            <v>1</v>
          </cell>
          <cell r="K30">
            <v>74</v>
          </cell>
          <cell r="L30">
            <v>0</v>
          </cell>
          <cell r="M30">
            <v>0.16800000000000001</v>
          </cell>
        </row>
        <row r="31">
          <cell r="F31" t="str">
            <v>MW</v>
          </cell>
          <cell r="G31">
            <v>15</v>
          </cell>
          <cell r="H31">
            <v>2</v>
          </cell>
          <cell r="I31">
            <v>0</v>
          </cell>
          <cell r="J31">
            <v>0</v>
          </cell>
          <cell r="K31">
            <v>83</v>
          </cell>
          <cell r="L31">
            <v>0</v>
          </cell>
          <cell r="M31">
            <v>0.16550000000000001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PRICE"/>
      <sheetName val="UNIT PRICE2"/>
      <sheetName val="EQUIPMENT"/>
      <sheetName val="BASIC PRICE"/>
      <sheetName val="FACTOR"/>
      <sheetName val="INDEX"/>
      <sheetName val="BPS"/>
      <sheetName val="RATIO"/>
      <sheetName val="BREAKDWN"/>
      <sheetName val="1st"/>
      <sheetName val="2nd"/>
      <sheetName val="3rd"/>
      <sheetName val="4th"/>
      <sheetName val="5th"/>
      <sheetName val="6th "/>
      <sheetName val="SUM1"/>
      <sheetName val="SUM2"/>
      <sheetName val="SUM3"/>
      <sheetName val="SUM4"/>
      <sheetName val="SUM5"/>
      <sheetName val="SUM6"/>
      <sheetName val="TOTA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F24" t="str">
            <v>DW</v>
          </cell>
          <cell r="G24">
            <v>15</v>
          </cell>
          <cell r="H24">
            <v>10</v>
          </cell>
          <cell r="I24">
            <v>60</v>
          </cell>
          <cell r="J24">
            <v>13</v>
          </cell>
          <cell r="K24">
            <v>2</v>
          </cell>
          <cell r="L24">
            <v>0</v>
          </cell>
          <cell r="M24">
            <v>9.0300000000000005E-2</v>
          </cell>
        </row>
        <row r="25">
          <cell r="F25" t="str">
            <v>EW</v>
          </cell>
          <cell r="G25">
            <v>15</v>
          </cell>
          <cell r="H25">
            <v>1</v>
          </cell>
          <cell r="I25">
            <v>69</v>
          </cell>
          <cell r="J25">
            <v>15</v>
          </cell>
          <cell r="K25">
            <v>0</v>
          </cell>
          <cell r="L25">
            <v>0</v>
          </cell>
          <cell r="M25">
            <v>4.1200000000000001E-2</v>
          </cell>
        </row>
        <row r="26">
          <cell r="F26" t="str">
            <v>CW</v>
          </cell>
          <cell r="G26">
            <v>15</v>
          </cell>
          <cell r="H26">
            <v>7</v>
          </cell>
          <cell r="I26">
            <v>12</v>
          </cell>
          <cell r="J26">
            <v>0</v>
          </cell>
          <cell r="K26">
            <v>66</v>
          </cell>
          <cell r="L26">
            <v>0</v>
          </cell>
          <cell r="M26">
            <v>0.16619999999999999</v>
          </cell>
        </row>
        <row r="27">
          <cell r="F27" t="str">
            <v>RW</v>
          </cell>
          <cell r="G27">
            <v>15</v>
          </cell>
          <cell r="H27">
            <v>7</v>
          </cell>
          <cell r="I27">
            <v>1</v>
          </cell>
          <cell r="J27">
            <v>0</v>
          </cell>
          <cell r="K27">
            <v>77</v>
          </cell>
          <cell r="L27">
            <v>0</v>
          </cell>
          <cell r="M27">
            <v>0.15260000000000001</v>
          </cell>
        </row>
        <row r="28">
          <cell r="F28" t="str">
            <v>PW</v>
          </cell>
          <cell r="G28">
            <v>15</v>
          </cell>
          <cell r="H28">
            <v>2</v>
          </cell>
          <cell r="I28">
            <v>17</v>
          </cell>
          <cell r="J28">
            <v>0</v>
          </cell>
          <cell r="K28">
            <v>66</v>
          </cell>
          <cell r="L28">
            <v>0</v>
          </cell>
          <cell r="M28">
            <v>0.14019999999999999</v>
          </cell>
        </row>
        <row r="29">
          <cell r="F29" t="str">
            <v>SW</v>
          </cell>
          <cell r="G29">
            <v>15</v>
          </cell>
          <cell r="H29">
            <v>15</v>
          </cell>
          <cell r="I29">
            <v>0</v>
          </cell>
          <cell r="J29">
            <v>0</v>
          </cell>
          <cell r="K29">
            <v>70</v>
          </cell>
          <cell r="L29">
            <v>0</v>
          </cell>
          <cell r="M29">
            <v>0.21379999999999999</v>
          </cell>
        </row>
        <row r="30">
          <cell r="F30" t="str">
            <v>RP</v>
          </cell>
          <cell r="G30">
            <v>15</v>
          </cell>
          <cell r="H30">
            <v>5</v>
          </cell>
          <cell r="I30">
            <v>5</v>
          </cell>
          <cell r="J30">
            <v>1</v>
          </cell>
          <cell r="K30">
            <v>74</v>
          </cell>
          <cell r="L30">
            <v>0</v>
          </cell>
          <cell r="M30">
            <v>0.16800000000000001</v>
          </cell>
        </row>
        <row r="31">
          <cell r="F31" t="str">
            <v>MW</v>
          </cell>
          <cell r="G31">
            <v>15</v>
          </cell>
          <cell r="H31">
            <v>2</v>
          </cell>
          <cell r="I31">
            <v>0</v>
          </cell>
          <cell r="J31">
            <v>0</v>
          </cell>
          <cell r="K31">
            <v>83</v>
          </cell>
          <cell r="L31">
            <v>0</v>
          </cell>
          <cell r="M31">
            <v>0.16550000000000001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analisa"/>
      <sheetName val="rekap"/>
      <sheetName val="rab pos tiket"/>
      <sheetName val="rab pagar tembok"/>
      <sheetName val="rab reklamasi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"/>
      <sheetName val="Rekapitulasi"/>
      <sheetName val="Rab Sianjo"/>
      <sheetName val="APP"/>
      <sheetName val="Dafhrg"/>
      <sheetName val="DafhrgAPP"/>
      <sheetName val="Anhs"/>
      <sheetName val="AnhsAPP"/>
      <sheetName val="Biaya alat"/>
      <sheetName val="Anlalat"/>
      <sheetName val="Bya alat APP"/>
      <sheetName val="Prod.alat"/>
      <sheetName val="anls Hrga Sat Btn Cyclpe"/>
      <sheetName val="Neg"/>
      <sheetName val="AnlTeknis"/>
      <sheetName val="Sch"/>
    </sheetNames>
    <sheetDataSet>
      <sheetData sheetId="0"/>
      <sheetData sheetId="1"/>
      <sheetData sheetId="2"/>
      <sheetData sheetId="3"/>
      <sheetData sheetId="4">
        <row r="97">
          <cell r="H97">
            <v>15500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"/>
      <sheetName val="Rekap Biaya"/>
      <sheetName val="MPU"/>
      <sheetName val="Kuantitas &amp; Harga"/>
      <sheetName val="DIV.1 Mobilisasi"/>
      <sheetName val="DIV.1 Lalu Lintas"/>
      <sheetName val="DIV.1 Jembatan Sementara"/>
      <sheetName val="ANALISA"/>
      <sheetName val="DIV.3 NP"/>
      <sheetName val="DIV.3 Coferdam"/>
      <sheetName val="DIV.4 NP"/>
      <sheetName val="DIV.5 NP"/>
      <sheetName val="DIV.6 NP"/>
      <sheetName val="DIV.6 Asbuton"/>
      <sheetName val="DIV.7 Elestomeric"/>
      <sheetName val="DIV.7 NP"/>
      <sheetName val="DIV. 6 - 7"/>
      <sheetName val="DIV.7 Expantion-Sand"/>
      <sheetName val="DIV.7 Tiang pancang"/>
      <sheetName val="DIV.7 Pembongkaran Beton"/>
      <sheetName val="DIV.7Peng, Jemb. Rangka-Gantung"/>
      <sheetName val="DIV.8 NP"/>
      <sheetName val="DIV.9 NP"/>
      <sheetName val="DIV.10 LS-Rutin"/>
      <sheetName val="DIV.10 Kuantitas"/>
      <sheetName val="DIV.10 Analisa HSP"/>
      <sheetName val="Divisi 8"/>
      <sheetName val="Basic Price"/>
      <sheetName val="ScedhuLe"/>
      <sheetName val="Jadwal Alat"/>
      <sheetName val="Jadwal Bahan"/>
      <sheetName val="Jadwal Personil"/>
      <sheetName val="Personil inti"/>
      <sheetName val="Struktur"/>
      <sheetName val="Alat Utama"/>
      <sheetName val="Yg Sdg Kerja"/>
      <sheetName val="PengaLaman"/>
      <sheetName val="Neraca"/>
      <sheetName val="Pemecah Batu"/>
      <sheetName val="Pencampur Beton"/>
      <sheetName val="Q ALAT"/>
      <sheetName val="TJF"/>
    </sheetNames>
    <sheetDataSet>
      <sheetData sheetId="0"/>
      <sheetData sheetId="1">
        <row r="1">
          <cell r="A1">
            <v>1</v>
          </cell>
        </row>
        <row r="3">
          <cell r="B3" t="str">
            <v>REKAPITULASI HARGA</v>
          </cell>
        </row>
        <row r="5">
          <cell r="B5" t="str">
            <v>Nama Penawar</v>
          </cell>
          <cell r="D5" t="str">
            <v>: CV. MUTYARA ABADI</v>
          </cell>
        </row>
        <row r="6">
          <cell r="B6" t="str">
            <v>Kegiatan</v>
          </cell>
          <cell r="D6" t="str">
            <v>: Pembangunan Jalan Dinas Bina Marga dan Cipta Karya Prov. NAD</v>
          </cell>
        </row>
        <row r="7">
          <cell r="B7" t="str">
            <v>Nama Paket</v>
          </cell>
          <cell r="D7" t="str">
            <v>: Pembangunan Jalan Baru, Penggalian Parit Desa Kende Siblah &amp; Aso Nanggroe</v>
          </cell>
        </row>
        <row r="8">
          <cell r="D8" t="str">
            <v xml:space="preserve">  Kec. Blang Pidie &amp; Kec.Jeumpa, Panjang 3 Km Dengan Lebar 2,5M</v>
          </cell>
        </row>
        <row r="9">
          <cell r="B9" t="str">
            <v>Nomor Paket</v>
          </cell>
          <cell r="D9" t="str">
            <v>: Bang - 104</v>
          </cell>
        </row>
        <row r="10">
          <cell r="B10" t="str">
            <v>Tahun Anggaran</v>
          </cell>
          <cell r="D10" t="str">
            <v>: 2009</v>
          </cell>
        </row>
        <row r="11">
          <cell r="B11" t="str">
            <v>Prop / Kab / Kodya</v>
          </cell>
          <cell r="D11" t="str">
            <v>: Nanggroe Aceh Darussalam Kab. Abdya</v>
          </cell>
        </row>
        <row r="14">
          <cell r="H14" t="str">
            <v>Jumlah Harga</v>
          </cell>
        </row>
        <row r="15">
          <cell r="B15" t="str">
            <v>No. Divisi</v>
          </cell>
          <cell r="D15" t="str">
            <v xml:space="preserve">                    Uraian</v>
          </cell>
          <cell r="H15" t="str">
            <v>Pekerjaan</v>
          </cell>
        </row>
        <row r="16">
          <cell r="H16" t="str">
            <v>(Rupiah)</v>
          </cell>
        </row>
        <row r="18">
          <cell r="B18">
            <v>1</v>
          </cell>
          <cell r="D18" t="str">
            <v>Umum</v>
          </cell>
          <cell r="H18">
            <v>9750000</v>
          </cell>
        </row>
        <row r="19">
          <cell r="B19">
            <v>2</v>
          </cell>
          <cell r="D19" t="str">
            <v>Drainase</v>
          </cell>
          <cell r="H19" t="e">
            <v>#REF!</v>
          </cell>
        </row>
        <row r="20">
          <cell r="B20">
            <v>3</v>
          </cell>
          <cell r="D20" t="str">
            <v>Pekerjaan Tanah</v>
          </cell>
          <cell r="H20" t="e">
            <v>#REF!</v>
          </cell>
        </row>
        <row r="21">
          <cell r="B21">
            <v>4</v>
          </cell>
          <cell r="D21" t="str">
            <v>Pelebaran Perkerasan dan Bahu Jalan</v>
          </cell>
          <cell r="H21" t="str">
            <v>---</v>
          </cell>
        </row>
        <row r="22">
          <cell r="B22">
            <v>5</v>
          </cell>
          <cell r="D22" t="str">
            <v>Pekerasan Berbutir</v>
          </cell>
          <cell r="H22" t="str">
            <v>---</v>
          </cell>
        </row>
        <row r="23">
          <cell r="B23">
            <v>6</v>
          </cell>
          <cell r="D23" t="str">
            <v>Perkerasan Aspal</v>
          </cell>
          <cell r="H23">
            <v>97650651.346139356</v>
          </cell>
        </row>
        <row r="24">
          <cell r="B24">
            <v>7</v>
          </cell>
          <cell r="D24" t="str">
            <v>Struktur</v>
          </cell>
          <cell r="H24" t="e">
            <v>#REF!</v>
          </cell>
        </row>
        <row r="25">
          <cell r="B25">
            <v>8</v>
          </cell>
          <cell r="D25" t="str">
            <v>Pengembalian Kondisi dan Pekerjaan  Minor</v>
          </cell>
          <cell r="H25" t="str">
            <v>---</v>
          </cell>
        </row>
        <row r="26">
          <cell r="B26">
            <v>9</v>
          </cell>
          <cell r="D26" t="str">
            <v>Pekerjaan Harian</v>
          </cell>
          <cell r="H26" t="str">
            <v>---</v>
          </cell>
        </row>
        <row r="27">
          <cell r="B27">
            <v>10</v>
          </cell>
          <cell r="D27" t="str">
            <v>Pekerjaan Pemeliharaan Rutin</v>
          </cell>
          <cell r="H27" t="str">
            <v>---</v>
          </cell>
        </row>
        <row r="29">
          <cell r="B29" t="str">
            <v xml:space="preserve">  (A)    Jumlah Harga Pekerjaan ( termasuk Biaya Umum dan Keuntungan )</v>
          </cell>
          <cell r="H29" t="e">
            <v>#REF!</v>
          </cell>
        </row>
        <row r="30">
          <cell r="B30" t="str">
            <v xml:space="preserve">  (B)    Pajak Pertambahan Nilai ( PPN ) = 10% x (A)</v>
          </cell>
          <cell r="H30" t="e">
            <v>#REF!</v>
          </cell>
        </row>
        <row r="31">
          <cell r="B31" t="str">
            <v xml:space="preserve">  (C)    Jumlah Total Harga Pekerjaan = (A) + (B)</v>
          </cell>
          <cell r="H31" t="e">
            <v>#REF!</v>
          </cell>
        </row>
        <row r="32">
          <cell r="B32" t="str">
            <v xml:space="preserve">  (D)    Jumlah Dibulatkan</v>
          </cell>
          <cell r="H32" t="e">
            <v>#REF!</v>
          </cell>
        </row>
        <row r="34">
          <cell r="B34" t="str">
            <v>Terbilang  :  Dua Ratus Lima Puluh Sembilan Juta Tiga Ribu Rupiah,-</v>
          </cell>
        </row>
        <row r="43">
          <cell r="G43" t="str">
            <v>Banda Aceh, 15 April 2009</v>
          </cell>
        </row>
        <row r="44">
          <cell r="G44" t="str">
            <v>Dibuat Oleh</v>
          </cell>
        </row>
        <row r="45">
          <cell r="G45" t="str">
            <v>CV. MUTYARA ABADI</v>
          </cell>
        </row>
        <row r="50">
          <cell r="G50" t="str">
            <v>MARTIN YUNANDA, ST</v>
          </cell>
        </row>
        <row r="51">
          <cell r="G51" t="str">
            <v>Direktur</v>
          </cell>
        </row>
      </sheetData>
      <sheetData sheetId="2" refreshError="1"/>
      <sheetData sheetId="3">
        <row r="2">
          <cell r="A2" t="str">
            <v>DAFTAR  KUANTITAS DAN HARGA</v>
          </cell>
        </row>
        <row r="4">
          <cell r="A4" t="str">
            <v>Nama Penawar</v>
          </cell>
          <cell r="C4" t="str">
            <v>: CV. MUTYARA ABADI</v>
          </cell>
        </row>
        <row r="5">
          <cell r="A5" t="str">
            <v>Kegiatan</v>
          </cell>
          <cell r="C5" t="str">
            <v>: Pembangunan Jalan Dinas Bina Marga dan Cipta Karya Prov. NAD</v>
          </cell>
        </row>
        <row r="6">
          <cell r="A6" t="str">
            <v>Nama Paket</v>
          </cell>
          <cell r="C6" t="str">
            <v>: Pembangunan Jalan Baru, Penggalian Parit Desa Kende Siblah &amp; Aso Nanggroe</v>
          </cell>
        </row>
        <row r="7">
          <cell r="C7" t="str">
            <v xml:space="preserve">  Kec. Blang Pidie &amp; Kec.Jeumpa, Panjang 3 Km Dengan Lebar 2,5M</v>
          </cell>
        </row>
        <row r="8">
          <cell r="A8" t="str">
            <v>Nomor Paket</v>
          </cell>
          <cell r="C8" t="str">
            <v>: Bang - 104</v>
          </cell>
        </row>
        <row r="9">
          <cell r="A9" t="str">
            <v>Tahun Anggaran</v>
          </cell>
          <cell r="C9" t="str">
            <v>: 2009</v>
          </cell>
        </row>
        <row r="10">
          <cell r="A10" t="str">
            <v>Prop / Kab / Kodya</v>
          </cell>
          <cell r="C10" t="str">
            <v>: Nanggroe Aceh Darussalam Kab. Abdya</v>
          </cell>
        </row>
        <row r="12">
          <cell r="D12">
            <v>0</v>
          </cell>
          <cell r="E12">
            <v>0</v>
          </cell>
        </row>
        <row r="13">
          <cell r="A13" t="str">
            <v>No. Mata</v>
          </cell>
          <cell r="B13" t="str">
            <v>Uraian</v>
          </cell>
          <cell r="D13" t="str">
            <v>Satuan</v>
          </cell>
          <cell r="E13" t="str">
            <v>Perkiraan</v>
          </cell>
          <cell r="F13" t="str">
            <v>Harga</v>
          </cell>
          <cell r="G13" t="str">
            <v>Jumlah</v>
          </cell>
        </row>
        <row r="14">
          <cell r="A14" t="str">
            <v>Pembayaran</v>
          </cell>
          <cell r="E14" t="str">
            <v>Kuantitas</v>
          </cell>
          <cell r="F14" t="str">
            <v>Satuan</v>
          </cell>
          <cell r="G14" t="str">
            <v>Harga-Harga</v>
          </cell>
        </row>
        <row r="15">
          <cell r="F15" t="str">
            <v>(Rupiah)</v>
          </cell>
          <cell r="G15" t="str">
            <v>(Rupiah)</v>
          </cell>
        </row>
        <row r="16">
          <cell r="A16" t="str">
            <v>a</v>
          </cell>
          <cell r="C16" t="str">
            <v>b</v>
          </cell>
          <cell r="D16" t="str">
            <v>c</v>
          </cell>
          <cell r="E16" t="str">
            <v>d</v>
          </cell>
          <cell r="F16" t="str">
            <v>e</v>
          </cell>
          <cell r="G16" t="str">
            <v>f = (d x e)</v>
          </cell>
        </row>
        <row r="18">
          <cell r="C18" t="str">
            <v>DIVISI 1. UMUM</v>
          </cell>
        </row>
        <row r="20">
          <cell r="A20" t="str">
            <v>1.2</v>
          </cell>
          <cell r="C20" t="str">
            <v>Mobilisasi</v>
          </cell>
          <cell r="D20" t="str">
            <v>LS</v>
          </cell>
          <cell r="E20">
            <v>1</v>
          </cell>
          <cell r="F20">
            <v>9750000</v>
          </cell>
          <cell r="G20">
            <v>9750000</v>
          </cell>
        </row>
        <row r="22">
          <cell r="A22" t="str">
            <v>1.8 (1)</v>
          </cell>
          <cell r="C22" t="str">
            <v>Pemeliharaan dan Perlindungan Lalu Lintas</v>
          </cell>
          <cell r="D22" t="str">
            <v>LS</v>
          </cell>
        </row>
        <row r="23">
          <cell r="A23" t="str">
            <v>1.8 (2)</v>
          </cell>
          <cell r="C23" t="str">
            <v>Pemasangan dan Pemeliharaan Jembatan Sementara</v>
          </cell>
          <cell r="D23" t="str">
            <v>LS</v>
          </cell>
        </row>
        <row r="24">
          <cell r="A24" t="str">
            <v>1.8 (3)</v>
          </cell>
          <cell r="C24" t="str">
            <v>Pengambilan data tanah (sondir)</v>
          </cell>
          <cell r="D24" t="str">
            <v>LS</v>
          </cell>
        </row>
        <row r="25">
          <cell r="A25" t="str">
            <v>1.8 (4)</v>
          </cell>
          <cell r="C25" t="str">
            <v>Pengambilan data tanah (borring)</v>
          </cell>
          <cell r="D25" t="str">
            <v>LS</v>
          </cell>
        </row>
        <row r="29">
          <cell r="C29" t="str">
            <v>Jumlah Harga Pekerjaan DIVISI 1  (masuk pada Rekapitulasi Perkiraan Harga Pekerjaan)</v>
          </cell>
          <cell r="G29">
            <v>9750000</v>
          </cell>
        </row>
        <row r="32">
          <cell r="C32" t="str">
            <v>DIVISI 2. DRAINASE</v>
          </cell>
        </row>
        <row r="34">
          <cell r="A34" t="str">
            <v>2.1</v>
          </cell>
          <cell r="C34" t="str">
            <v xml:space="preserve">Galian untuk Selokan Drainase dan Saluran Air </v>
          </cell>
          <cell r="D34" t="str">
            <v>M3</v>
          </cell>
          <cell r="E34">
            <v>60</v>
          </cell>
          <cell r="F34">
            <v>408550.11122310959</v>
          </cell>
          <cell r="G34">
            <v>24513006.673386574</v>
          </cell>
        </row>
        <row r="36">
          <cell r="A36" t="str">
            <v>2.2</v>
          </cell>
          <cell r="C36" t="str">
            <v>Pasangan Batu dengan Mortar</v>
          </cell>
          <cell r="D36" t="str">
            <v>M3</v>
          </cell>
          <cell r="E36">
            <v>20</v>
          </cell>
          <cell r="F36" t="e">
            <v>#REF!</v>
          </cell>
          <cell r="G36" t="e">
            <v>#REF!</v>
          </cell>
        </row>
        <row r="38">
          <cell r="A38" t="str">
            <v>2.3 (1)</v>
          </cell>
          <cell r="C38" t="str">
            <v>Gorong-Gorong Pipa Beton Bertulang, Diameter Dalam &lt; 45 cm</v>
          </cell>
          <cell r="D38" t="str">
            <v>M1</v>
          </cell>
        </row>
        <row r="39">
          <cell r="A39" t="str">
            <v>2.3 (2)</v>
          </cell>
          <cell r="C39" t="str">
            <v>Gorong-Gorong Pipa Beton Bertulang, Diameter Dalam 45-&lt;75 cm</v>
          </cell>
          <cell r="D39" t="str">
            <v>M1</v>
          </cell>
        </row>
        <row r="40">
          <cell r="A40" t="str">
            <v>2.3 (3)</v>
          </cell>
          <cell r="C40" t="str">
            <v xml:space="preserve">Gorong-Gorong Pipa Beton Bertulang, Diameter Dalam 75-&lt;95 cm </v>
          </cell>
          <cell r="D40" t="str">
            <v>M1</v>
          </cell>
        </row>
        <row r="41">
          <cell r="A41" t="str">
            <v>2.3 (3)</v>
          </cell>
          <cell r="C41" t="str">
            <v xml:space="preserve">Gorong-Gorong Pipa Beton Bertulang, Diameter Dalam 80-100 cm </v>
          </cell>
          <cell r="D41" t="str">
            <v>M1</v>
          </cell>
        </row>
        <row r="43">
          <cell r="A43" t="str">
            <v>2.3 (4)</v>
          </cell>
          <cell r="C43" t="str">
            <v>Gorong-Gorong Pipa Baja Bergelombang</v>
          </cell>
          <cell r="D43" t="str">
            <v>Ton</v>
          </cell>
        </row>
        <row r="44">
          <cell r="A44" t="str">
            <v>2.3 (5)</v>
          </cell>
          <cell r="C44" t="str">
            <v>Gorong-Gorong Beton Tanpa Tulang Diameter Dalam 20-30 Cm</v>
          </cell>
          <cell r="D44" t="str">
            <v>M1</v>
          </cell>
        </row>
        <row r="45">
          <cell r="A45" t="str">
            <v>2.4 (1)</v>
          </cell>
          <cell r="C45" t="str">
            <v>Timbunan Porus atau Bahan Penyaring</v>
          </cell>
          <cell r="D45" t="str">
            <v>M3</v>
          </cell>
        </row>
        <row r="46">
          <cell r="A46" t="str">
            <v>2.4 (2)</v>
          </cell>
          <cell r="C46" t="str">
            <v>Anyaman Filter Plastik</v>
          </cell>
          <cell r="D46" t="str">
            <v>M2</v>
          </cell>
        </row>
        <row r="47">
          <cell r="A47" t="str">
            <v>2.4 (3)</v>
          </cell>
          <cell r="C47" t="str">
            <v>Pipa Berlubang Banyak Untuk Pek. Drainase di Bawah Permukaan</v>
          </cell>
          <cell r="D47" t="str">
            <v>M1</v>
          </cell>
        </row>
        <row r="51">
          <cell r="B51" t="str">
            <v>Jumlah Harga Pekerjaan DIVISI 2  (masuk pada Rekapitulasi Perkiraan Harga Pekerjaan)</v>
          </cell>
          <cell r="G51" t="e">
            <v>#REF!</v>
          </cell>
        </row>
        <row r="54">
          <cell r="C54" t="str">
            <v>DIVISI  3.  PEKERJAAN  TANAH</v>
          </cell>
        </row>
        <row r="55">
          <cell r="C55" t="e">
            <v>#REF!</v>
          </cell>
        </row>
        <row r="56">
          <cell r="A56" t="str">
            <v>3.1 (1)</v>
          </cell>
          <cell r="C56" t="str">
            <v>Galian Biasa</v>
          </cell>
          <cell r="D56" t="str">
            <v>M3</v>
          </cell>
          <cell r="E56">
            <v>40</v>
          </cell>
          <cell r="F56">
            <v>25427.257224616573</v>
          </cell>
          <cell r="G56">
            <v>1017090.2889846629</v>
          </cell>
        </row>
        <row r="57">
          <cell r="A57" t="str">
            <v>3.1 (2)</v>
          </cell>
          <cell r="C57" t="str">
            <v>Galian Batu</v>
          </cell>
          <cell r="D57" t="str">
            <v>M3</v>
          </cell>
        </row>
        <row r="58">
          <cell r="A58" t="str">
            <v>3.1 (3)</v>
          </cell>
          <cell r="C58" t="str">
            <v>Galian Struktur dengan Kedalaman 0 - 2 meter</v>
          </cell>
          <cell r="D58" t="str">
            <v>M3</v>
          </cell>
        </row>
        <row r="59">
          <cell r="A59" t="str">
            <v>3.1 (4)</v>
          </cell>
          <cell r="C59" t="str">
            <v>Galian Struktur dengan Kedalaman 2 - 4 meter</v>
          </cell>
          <cell r="D59" t="str">
            <v>M3</v>
          </cell>
        </row>
        <row r="60">
          <cell r="A60" t="str">
            <v>3.1 (5)</v>
          </cell>
          <cell r="C60" t="str">
            <v>Galian Struktur dengan Kedalaman 4 - 6 meter</v>
          </cell>
          <cell r="D60" t="str">
            <v>M3</v>
          </cell>
        </row>
        <row r="61">
          <cell r="A61" t="str">
            <v>3.1 (6)</v>
          </cell>
          <cell r="C61" t="str">
            <v>Cofferdam, Penyokong, Pengaku dan Pekerjaan yang Berkaitan</v>
          </cell>
          <cell r="D61" t="str">
            <v>LS</v>
          </cell>
        </row>
        <row r="62">
          <cell r="A62" t="str">
            <v>3.1 (7)</v>
          </cell>
          <cell r="C62" t="str">
            <v xml:space="preserve">Galian Perkerasan Beraspal Dengan Cold Milling Machine </v>
          </cell>
          <cell r="D62" t="str">
            <v>M3</v>
          </cell>
        </row>
        <row r="63">
          <cell r="A63" t="str">
            <v>3.1 (8)</v>
          </cell>
          <cell r="C63" t="str">
            <v xml:space="preserve">Galian Perkerasan Beraspal Tanpa Cold Milling Machine </v>
          </cell>
          <cell r="D63" t="str">
            <v>M3</v>
          </cell>
        </row>
        <row r="64">
          <cell r="A64" t="str">
            <v>3.1 (9)</v>
          </cell>
          <cell r="C64" t="str">
            <v>Biaya Tambahan Utk. Pengangkutan yang Melebihi 5 Km.</v>
          </cell>
          <cell r="D64" t="str">
            <v>M3/Km</v>
          </cell>
        </row>
        <row r="66">
          <cell r="A66" t="str">
            <v>3.2 (1)</v>
          </cell>
          <cell r="C66" t="str">
            <v>Timbunan Biasa</v>
          </cell>
          <cell r="D66" t="str">
            <v>M3</v>
          </cell>
          <cell r="E66">
            <v>53.79</v>
          </cell>
          <cell r="F66" t="e">
            <v>#REF!</v>
          </cell>
          <cell r="G66" t="e">
            <v>#REF!</v>
          </cell>
        </row>
        <row r="67">
          <cell r="A67" t="str">
            <v>3.2 (2)</v>
          </cell>
          <cell r="C67" t="str">
            <v>Timbunan Biasa dari Galian Sumber Bahan</v>
          </cell>
          <cell r="D67" t="str">
            <v>M3</v>
          </cell>
        </row>
        <row r="68">
          <cell r="A68" t="str">
            <v>3.2 (3)</v>
          </cell>
          <cell r="C68" t="str">
            <v>Timbunan Pilihan</v>
          </cell>
          <cell r="D68" t="str">
            <v>M3</v>
          </cell>
          <cell r="E68">
            <v>216</v>
          </cell>
          <cell r="F68" t="e">
            <v>#REF!</v>
          </cell>
          <cell r="G68" t="e">
            <v>#REF!</v>
          </cell>
        </row>
        <row r="69">
          <cell r="A69" t="str">
            <v>3.2 (4)</v>
          </cell>
          <cell r="C69" t="str">
            <v>Timbunan Pilihan di Atas Tanah Rawa (diukur di atas bak truk)</v>
          </cell>
          <cell r="D69" t="str">
            <v>M3</v>
          </cell>
        </row>
        <row r="71">
          <cell r="A71">
            <v>3.3</v>
          </cell>
          <cell r="C71" t="str">
            <v>Penyiapan Badan Jalan</v>
          </cell>
          <cell r="D71" t="str">
            <v>M2</v>
          </cell>
          <cell r="E71">
            <v>1600</v>
          </cell>
          <cell r="F71">
            <v>5565.9242850251685</v>
          </cell>
          <cell r="G71">
            <v>8905478.8560402691</v>
          </cell>
        </row>
        <row r="72">
          <cell r="A72" t="str">
            <v>3.3 (1)</v>
          </cell>
          <cell r="C72" t="str">
            <v>Penyiapan Badan Jalan pada Galian Batu</v>
          </cell>
          <cell r="D72" t="str">
            <v>M2</v>
          </cell>
        </row>
        <row r="74">
          <cell r="A74" t="str">
            <v>3.4 (1)</v>
          </cell>
          <cell r="C74" t="str">
            <v>Pemotongan Pohon Diameter &lt;10 Cm</v>
          </cell>
          <cell r="D74" t="str">
            <v>Buah</v>
          </cell>
        </row>
        <row r="75">
          <cell r="A75" t="str">
            <v>3.4 (2)</v>
          </cell>
          <cell r="C75" t="str">
            <v>Pemotongan Pohon Diameter 10 - &lt;30 Cm</v>
          </cell>
          <cell r="D75" t="str">
            <v>Buah</v>
          </cell>
        </row>
        <row r="76">
          <cell r="A76" t="str">
            <v>3.4 (3)</v>
          </cell>
          <cell r="C76" t="str">
            <v>Pemotongan Pohon Diameter 30 - &lt;50 Cm</v>
          </cell>
          <cell r="D76" t="str">
            <v>Buah</v>
          </cell>
        </row>
        <row r="77">
          <cell r="A77" t="str">
            <v>3.4 (4)</v>
          </cell>
          <cell r="C77" t="str">
            <v>Pemotongan Pohon Diameter 50 - &lt;75 Cm</v>
          </cell>
          <cell r="D77" t="str">
            <v>Buah</v>
          </cell>
        </row>
        <row r="78">
          <cell r="A78" t="str">
            <v>3.4 (5)</v>
          </cell>
          <cell r="C78" t="str">
            <v>Pemotongan Pohon Diameter &gt;75 Cm</v>
          </cell>
          <cell r="D78" t="str">
            <v>Buah</v>
          </cell>
        </row>
        <row r="79">
          <cell r="A79" t="str">
            <v>3.4 (6)</v>
          </cell>
          <cell r="C79" t="str">
            <v>Stabilisasi Lereng dengan Gebalan Rumput</v>
          </cell>
          <cell r="D79" t="str">
            <v>M2</v>
          </cell>
        </row>
        <row r="80">
          <cell r="A80" t="str">
            <v>3.4 (7)</v>
          </cell>
          <cell r="C80" t="str">
            <v>Penanaman Perdu</v>
          </cell>
          <cell r="D80" t="str">
            <v>M2</v>
          </cell>
        </row>
        <row r="81">
          <cell r="A81" t="str">
            <v>3.4 (8)</v>
          </cell>
          <cell r="C81" t="str">
            <v>Penanaman Pohon</v>
          </cell>
          <cell r="D81" t="str">
            <v>Buah</v>
          </cell>
        </row>
        <row r="85">
          <cell r="B85" t="str">
            <v>Jumlah Harga Pekerjaan DIVISI 3  (masuk pada Rekapitulasi Perkiraan Harga Pekerjaan)</v>
          </cell>
          <cell r="G85" t="e">
            <v>#REF!</v>
          </cell>
        </row>
        <row r="88">
          <cell r="C88" t="str">
            <v>DIVISI  4.  PELEBARAN PERKERASAN DAN BAHU JALAN</v>
          </cell>
        </row>
        <row r="90">
          <cell r="A90" t="str">
            <v>4.2 (1)</v>
          </cell>
          <cell r="C90" t="str">
            <v>Lapis Pondasi Agregat Kelas A</v>
          </cell>
          <cell r="D90" t="str">
            <v>M3</v>
          </cell>
        </row>
        <row r="91">
          <cell r="A91" t="str">
            <v>4.2 (2)</v>
          </cell>
          <cell r="C91" t="str">
            <v>Lapis Pondasi Agregat Kelas B</v>
          </cell>
          <cell r="D91" t="str">
            <v>M3</v>
          </cell>
        </row>
        <row r="92">
          <cell r="A92" t="str">
            <v>4.2 (3)</v>
          </cell>
          <cell r="C92" t="str">
            <v>Lapis Pondasi Semen Tanah</v>
          </cell>
          <cell r="D92" t="str">
            <v>M3</v>
          </cell>
        </row>
        <row r="93">
          <cell r="A93" t="str">
            <v>4.2 (4)</v>
          </cell>
          <cell r="C93" t="str">
            <v>Semen Untuk Lapis Pondasi Semen Tanah</v>
          </cell>
          <cell r="D93" t="str">
            <v>Ton</v>
          </cell>
        </row>
        <row r="94">
          <cell r="A94" t="str">
            <v>4.2 (5)</v>
          </cell>
          <cell r="C94" t="str">
            <v>Laburan Aspal Satu Lapis (BURTU)</v>
          </cell>
          <cell r="D94" t="str">
            <v>M2</v>
          </cell>
        </row>
        <row r="95">
          <cell r="A95" t="str">
            <v>4.2 (6)</v>
          </cell>
          <cell r="C95" t="str">
            <v>Bahan Aspal Untuk Pekerjaan Pelaburan</v>
          </cell>
          <cell r="D95" t="str">
            <v>Liter</v>
          </cell>
        </row>
        <row r="96">
          <cell r="A96" t="str">
            <v>4.2 (7)</v>
          </cell>
          <cell r="C96" t="str">
            <v>Lapis Resap Pengikat</v>
          </cell>
          <cell r="D96" t="str">
            <v>Liter</v>
          </cell>
        </row>
        <row r="100">
          <cell r="B100" t="str">
            <v>Jumlah Harga Pekerjaan DIVISI 4  (masuk pada Rekapitulasi Perkiraan Harga Pekerjaan)</v>
          </cell>
        </row>
        <row r="103">
          <cell r="C103" t="str">
            <v>DIVISI  5.  PERKERASAN  BERBUTIR</v>
          </cell>
        </row>
        <row r="105">
          <cell r="A105" t="str">
            <v>5.1 (1)</v>
          </cell>
          <cell r="C105" t="str">
            <v>Lapis Pondasi Agregat Kelas A</v>
          </cell>
          <cell r="D105" t="str">
            <v>M3</v>
          </cell>
        </row>
        <row r="106">
          <cell r="A106" t="str">
            <v>5.1 (2)</v>
          </cell>
          <cell r="C106" t="str">
            <v>Lapis Pondasi Agregat Kelas B</v>
          </cell>
          <cell r="D106" t="str">
            <v>M3</v>
          </cell>
        </row>
        <row r="108">
          <cell r="A108" t="str">
            <v>5.2 (1)</v>
          </cell>
          <cell r="C108" t="str">
            <v>Lapis Pondasi Agregat Kelas C</v>
          </cell>
          <cell r="D108" t="str">
            <v>M3</v>
          </cell>
        </row>
        <row r="110">
          <cell r="A110" t="str">
            <v>5.3 (1)</v>
          </cell>
          <cell r="C110" t="str">
            <v>Cement Treated Base (CTB)</v>
          </cell>
          <cell r="D110" t="str">
            <v>M3</v>
          </cell>
        </row>
        <row r="111">
          <cell r="A111" t="str">
            <v>5.3 (2)</v>
          </cell>
          <cell r="C111" t="str">
            <v>Cement Treated Sub Base (CTSB)</v>
          </cell>
          <cell r="D111" t="str">
            <v>M3</v>
          </cell>
        </row>
        <row r="113">
          <cell r="A113" t="str">
            <v>5.4 (1)</v>
          </cell>
          <cell r="C113" t="str">
            <v>Semen Untuk Lapis Pondasi Semen Tanah</v>
          </cell>
          <cell r="D113" t="str">
            <v>Ton</v>
          </cell>
        </row>
        <row r="114">
          <cell r="A114" t="str">
            <v>5.4 (2)</v>
          </cell>
          <cell r="C114" t="str">
            <v>Lapis Pondasi Semen Tanah</v>
          </cell>
          <cell r="D114" t="str">
            <v>M3</v>
          </cell>
        </row>
        <row r="116">
          <cell r="A116" t="str">
            <v>5.5</v>
          </cell>
          <cell r="C116" t="str">
            <v>Perkerasan Beton</v>
          </cell>
          <cell r="D116" t="str">
            <v>M3</v>
          </cell>
        </row>
        <row r="120">
          <cell r="B120" t="str">
            <v>Jumlah Harga Pekerjaan DIVISI 5  (masuk pada Rekapitulasi Perkiraan Harga Pekerjaan)</v>
          </cell>
        </row>
        <row r="123">
          <cell r="C123" t="str">
            <v>DIVISI  6.  PERKERASAN  ASPAL</v>
          </cell>
        </row>
        <row r="125">
          <cell r="A125" t="str">
            <v>6.1 (1)</v>
          </cell>
          <cell r="C125" t="str">
            <v>Lapis Resap Pengikat</v>
          </cell>
          <cell r="D125" t="str">
            <v>Liter</v>
          </cell>
        </row>
        <row r="126">
          <cell r="A126" t="str">
            <v>6.1 (2)</v>
          </cell>
          <cell r="C126" t="str">
            <v>Lapis Perekat</v>
          </cell>
          <cell r="D126" t="str">
            <v>Liter</v>
          </cell>
        </row>
        <row r="128">
          <cell r="A128" t="str">
            <v>6.2 (1)</v>
          </cell>
          <cell r="C128" t="str">
            <v>Agregat Penutup BURTU</v>
          </cell>
          <cell r="D128" t="str">
            <v>M2</v>
          </cell>
        </row>
        <row r="129">
          <cell r="A129" t="str">
            <v>6.2 (2)</v>
          </cell>
          <cell r="C129" t="str">
            <v>Agregat Penutup BURDA</v>
          </cell>
          <cell r="D129" t="str">
            <v>M2</v>
          </cell>
        </row>
        <row r="130">
          <cell r="A130" t="str">
            <v>6.2 (3)</v>
          </cell>
          <cell r="C130" t="str">
            <v>Bahan Aspal untuk Pekerjaan Laburan</v>
          </cell>
          <cell r="D130" t="str">
            <v>Liter</v>
          </cell>
        </row>
        <row r="133">
          <cell r="A133" t="str">
            <v>6.3 (1)</v>
          </cell>
          <cell r="C133" t="str">
            <v>Latasir (SS) Kelas A</v>
          </cell>
          <cell r="D133" t="str">
            <v>M2</v>
          </cell>
        </row>
        <row r="134">
          <cell r="A134" t="str">
            <v>6.3 (2)</v>
          </cell>
          <cell r="C134" t="str">
            <v>Latasir (SS) Kelas B</v>
          </cell>
          <cell r="D134" t="str">
            <v>M2</v>
          </cell>
        </row>
        <row r="135">
          <cell r="A135" t="str">
            <v>6.3 (3)</v>
          </cell>
          <cell r="C135" t="str">
            <v>Lataston (HRS)</v>
          </cell>
          <cell r="D135" t="str">
            <v>M2</v>
          </cell>
        </row>
        <row r="136">
          <cell r="A136" t="str">
            <v>6.3 (4)</v>
          </cell>
          <cell r="C136" t="str">
            <v>Asphalt Treated Base (ATB)</v>
          </cell>
          <cell r="D136" t="str">
            <v>M3</v>
          </cell>
        </row>
        <row r="137">
          <cell r="A137" t="str">
            <v>6.3 (5)</v>
          </cell>
          <cell r="C137" t="str">
            <v>Lapis Aus Aspal Beton (AC-WC)</v>
          </cell>
          <cell r="D137" t="str">
            <v>M2</v>
          </cell>
        </row>
        <row r="138">
          <cell r="A138" t="str">
            <v>6.3 (6)</v>
          </cell>
          <cell r="C138" t="str">
            <v>Laston Lapis Pengikat (AC-BC)</v>
          </cell>
          <cell r="D138" t="str">
            <v>M3</v>
          </cell>
        </row>
        <row r="139">
          <cell r="A139" t="str">
            <v>6.3 (6) a</v>
          </cell>
          <cell r="C139" t="str">
            <v>Laston Lapis Pengikat Levelling (AC-BCL)</v>
          </cell>
          <cell r="D139" t="str">
            <v>Ton</v>
          </cell>
        </row>
        <row r="141">
          <cell r="A141" t="str">
            <v>6.4 (1)</v>
          </cell>
          <cell r="C141" t="str">
            <v>Lasbutag</v>
          </cell>
          <cell r="D141" t="str">
            <v>M2</v>
          </cell>
        </row>
        <row r="142">
          <cell r="A142" t="str">
            <v>6.4 (2)</v>
          </cell>
          <cell r="C142" t="str">
            <v>Latasbusir Kelas A</v>
          </cell>
          <cell r="D142" t="str">
            <v>M2</v>
          </cell>
        </row>
        <row r="143">
          <cell r="A143" t="str">
            <v>6.4 (3)</v>
          </cell>
          <cell r="C143" t="str">
            <v>Latasbusir Kelas B</v>
          </cell>
          <cell r="D143" t="str">
            <v>M2</v>
          </cell>
        </row>
        <row r="144">
          <cell r="A144" t="str">
            <v>6.4 (4)</v>
          </cell>
          <cell r="C144" t="str">
            <v>Bitumen Asbuton</v>
          </cell>
          <cell r="D144" t="str">
            <v>Ton</v>
          </cell>
        </row>
        <row r="145">
          <cell r="A145" t="str">
            <v>6.4 (5)</v>
          </cell>
          <cell r="C145" t="str">
            <v>Bitumen Bahan Peremaja</v>
          </cell>
          <cell r="D145" t="str">
            <v>Ton</v>
          </cell>
        </row>
        <row r="146">
          <cell r="A146" t="str">
            <v>6.4 (6)</v>
          </cell>
          <cell r="C146" t="str">
            <v>Bahan Anti-Stripping</v>
          </cell>
          <cell r="D146" t="str">
            <v>Liter</v>
          </cell>
        </row>
        <row r="148">
          <cell r="A148" t="str">
            <v>6.5 (1)</v>
          </cell>
          <cell r="C148" t="str">
            <v>Campuran Aspal Dingin Untuk Pelapisan Kembali</v>
          </cell>
          <cell r="D148" t="str">
            <v>M3</v>
          </cell>
        </row>
        <row r="150">
          <cell r="A150" t="str">
            <v>6.6</v>
          </cell>
          <cell r="C150" t="str">
            <v>Lapis Penetrasi Macadam (Permukaan)</v>
          </cell>
          <cell r="D150" t="str">
            <v>M3</v>
          </cell>
          <cell r="E150">
            <v>112</v>
          </cell>
          <cell r="F150">
            <v>871880.81559052994</v>
          </cell>
          <cell r="G150">
            <v>97650651.346139356</v>
          </cell>
        </row>
        <row r="154">
          <cell r="B154" t="str">
            <v>Jumlah Harga Pekerjaan DIVISI 6  (masuk pada Rekapitulasi Perkiraan Harga Pekerjaan)</v>
          </cell>
          <cell r="G154">
            <v>97650651.346139356</v>
          </cell>
        </row>
        <row r="157">
          <cell r="C157" t="str">
            <v>DIVISI  7.  STRUKTUR</v>
          </cell>
        </row>
        <row r="159">
          <cell r="A159" t="str">
            <v>7.1 (1)</v>
          </cell>
          <cell r="C159" t="str">
            <v>Beton K500</v>
          </cell>
          <cell r="D159" t="str">
            <v>M3</v>
          </cell>
        </row>
        <row r="160">
          <cell r="A160" t="str">
            <v>7.1 (2)</v>
          </cell>
          <cell r="C160" t="str">
            <v>Beton K400</v>
          </cell>
          <cell r="D160" t="str">
            <v>M3</v>
          </cell>
        </row>
        <row r="161">
          <cell r="A161" t="str">
            <v>7.1 (3)</v>
          </cell>
          <cell r="C161" t="str">
            <v>Beton K350</v>
          </cell>
          <cell r="D161" t="str">
            <v>M3</v>
          </cell>
        </row>
        <row r="162">
          <cell r="A162" t="str">
            <v>7.1 (4)</v>
          </cell>
          <cell r="C162" t="str">
            <v>Beton K300</v>
          </cell>
          <cell r="D162" t="str">
            <v>M3</v>
          </cell>
        </row>
        <row r="163">
          <cell r="A163" t="str">
            <v>7.1 (5)</v>
          </cell>
          <cell r="C163" t="str">
            <v>Beton K250</v>
          </cell>
          <cell r="D163" t="str">
            <v>M3</v>
          </cell>
          <cell r="E163">
            <v>5</v>
          </cell>
          <cell r="F163" t="e">
            <v>#REF!</v>
          </cell>
          <cell r="G163" t="e">
            <v>#REF!</v>
          </cell>
        </row>
        <row r="164">
          <cell r="A164" t="str">
            <v>7.1 (6)</v>
          </cell>
          <cell r="C164" t="str">
            <v>Beton K175</v>
          </cell>
          <cell r="D164" t="str">
            <v>M3</v>
          </cell>
        </row>
        <row r="165">
          <cell r="A165" t="str">
            <v>7.1 (7)</v>
          </cell>
          <cell r="C165" t="str">
            <v>Beton Siklop K175</v>
          </cell>
          <cell r="D165" t="str">
            <v>M3</v>
          </cell>
        </row>
        <row r="166">
          <cell r="A166" t="str">
            <v>7.1 (8)</v>
          </cell>
          <cell r="C166" t="str">
            <v>Beton K125</v>
          </cell>
          <cell r="D166" t="str">
            <v>M3</v>
          </cell>
        </row>
        <row r="168">
          <cell r="A168" t="str">
            <v>7.2 (1) a</v>
          </cell>
          <cell r="C168" t="str">
            <v>Unit Pracetak Gelagar Tipe I Bentang ...28,60.... meter</v>
          </cell>
          <cell r="D168" t="str">
            <v>Buah</v>
          </cell>
        </row>
        <row r="169">
          <cell r="A169" t="str">
            <v>7.2 (1) b</v>
          </cell>
          <cell r="C169" t="str">
            <v>Unit Pracetak Gelagar Tipe I Bentang ......... meter</v>
          </cell>
          <cell r="D169" t="str">
            <v>Buah</v>
          </cell>
        </row>
        <row r="170">
          <cell r="A170" t="str">
            <v>7.2 (2) a</v>
          </cell>
          <cell r="C170" t="str">
            <v>Unit Pracetak Gelagar Tipe T Bentang ......... meter</v>
          </cell>
          <cell r="D170" t="str">
            <v>Buah</v>
          </cell>
        </row>
        <row r="171">
          <cell r="A171" t="str">
            <v>7.2 (2) b</v>
          </cell>
          <cell r="C171" t="str">
            <v>Unit Pracetak Gelagar Tipe T Bentang ......... meter</v>
          </cell>
          <cell r="D171" t="str">
            <v>Buah</v>
          </cell>
        </row>
        <row r="172">
          <cell r="A172" t="str">
            <v>7.2 (3) a</v>
          </cell>
          <cell r="C172" t="str">
            <v>Unit Pracetak Gelagar Tipe U Bentang ......... meter</v>
          </cell>
          <cell r="D172" t="str">
            <v>Buah</v>
          </cell>
        </row>
        <row r="173">
          <cell r="A173" t="str">
            <v>7.2 (3) b</v>
          </cell>
          <cell r="C173" t="str">
            <v>Unit Pracetak Gelagar Tipe U Bentang ......... meter</v>
          </cell>
          <cell r="D173" t="str">
            <v>Buah</v>
          </cell>
        </row>
        <row r="174">
          <cell r="A174" t="str">
            <v>7.2 (4) a</v>
          </cell>
          <cell r="C174" t="str">
            <v>Unit Pracetak Gelagar Tipe Y Bentang ......... meter</v>
          </cell>
          <cell r="D174" t="str">
            <v>Buah</v>
          </cell>
        </row>
        <row r="175">
          <cell r="A175" t="str">
            <v>7.2 (4) b</v>
          </cell>
          <cell r="C175" t="str">
            <v>Unit Pracetak Gelagar Tipe Y Bentang ......... meter</v>
          </cell>
          <cell r="D175" t="str">
            <v>Buah</v>
          </cell>
        </row>
        <row r="176">
          <cell r="A176" t="str">
            <v>7.2 (5) a</v>
          </cell>
          <cell r="C176" t="str">
            <v>Unit Pracetak Gelagar Tipe  Bentang ......... meter</v>
          </cell>
          <cell r="D176" t="str">
            <v>Buah</v>
          </cell>
        </row>
        <row r="177">
          <cell r="A177" t="str">
            <v>7.2 (5) b</v>
          </cell>
          <cell r="C177" t="str">
            <v>Unit Pracetak Gelagar Tipe  Bentang ......... meter</v>
          </cell>
          <cell r="D177" t="str">
            <v>Buah</v>
          </cell>
        </row>
        <row r="178">
          <cell r="A178" t="str">
            <v>7.2 (6) a</v>
          </cell>
          <cell r="C178" t="str">
            <v>Unit Pracetak Voided Slab Bentang ......... meter</v>
          </cell>
          <cell r="D178" t="str">
            <v>Buah</v>
          </cell>
        </row>
        <row r="179">
          <cell r="A179" t="str">
            <v>7.2 (6) b</v>
          </cell>
          <cell r="C179" t="str">
            <v>Unit Pracetak Voided Slab Bentang ......... meter</v>
          </cell>
          <cell r="D179" t="str">
            <v>Buah</v>
          </cell>
        </row>
        <row r="180">
          <cell r="A180" t="str">
            <v>7.2 (7) a</v>
          </cell>
          <cell r="C180" t="str">
            <v>Unit Pracetak Deck Slab Bentang Type A / B</v>
          </cell>
          <cell r="D180" t="str">
            <v>Buah</v>
          </cell>
        </row>
        <row r="181">
          <cell r="A181" t="str">
            <v>7.2 (7) b</v>
          </cell>
          <cell r="C181" t="str">
            <v>Unit Pracetak Flat Slab Bentang ......... meter</v>
          </cell>
          <cell r="D181" t="str">
            <v>Buah</v>
          </cell>
        </row>
        <row r="182">
          <cell r="A182" t="str">
            <v>7.2 (8) a</v>
          </cell>
          <cell r="C182" t="str">
            <v>Unit Pracetak Diafragma Type III</v>
          </cell>
          <cell r="D182" t="str">
            <v>Buah</v>
          </cell>
        </row>
        <row r="183">
          <cell r="A183" t="str">
            <v>7.2 (8) b</v>
          </cell>
          <cell r="C183" t="str">
            <v>Unit Pracetak Diafragma Bentang ......... meter</v>
          </cell>
          <cell r="D183" t="str">
            <v>Buah</v>
          </cell>
        </row>
        <row r="184">
          <cell r="A184" t="str">
            <v>7.2 (9)</v>
          </cell>
          <cell r="C184" t="str">
            <v>Unit Pracetak Panel Deck</v>
          </cell>
          <cell r="D184" t="str">
            <v>M2</v>
          </cell>
        </row>
        <row r="185">
          <cell r="A185" t="str">
            <v>7.2 (10)</v>
          </cell>
          <cell r="C185" t="str">
            <v>Kabel Pra Tegang, Pengadaan dan Penarikan</v>
          </cell>
          <cell r="D185" t="str">
            <v>Kg</v>
          </cell>
        </row>
        <row r="186">
          <cell r="A186" t="str">
            <v>7.2 (11) a</v>
          </cell>
          <cell r="C186" t="str">
            <v>Pemasangan Unit Pracetak Gelagar Tipe I Bentang ......... meter</v>
          </cell>
          <cell r="D186" t="str">
            <v>Buah</v>
          </cell>
        </row>
        <row r="187">
          <cell r="A187" t="str">
            <v>7.2 (11) b</v>
          </cell>
          <cell r="C187" t="str">
            <v>Pemasangan Unit Pracetak Gelagar Tipe I Bentang ......... meter</v>
          </cell>
          <cell r="D187" t="str">
            <v>Buah</v>
          </cell>
        </row>
        <row r="188">
          <cell r="A188" t="str">
            <v>7.2 (12) a</v>
          </cell>
          <cell r="C188" t="str">
            <v>Pemasangan Unit Pracetak Gelagar Tipe T Bentang ......... meter</v>
          </cell>
          <cell r="D188" t="str">
            <v>Buah</v>
          </cell>
        </row>
        <row r="189">
          <cell r="A189" t="str">
            <v>7.2 (12) b</v>
          </cell>
          <cell r="C189" t="str">
            <v>Pemasangan Unit Pracetak Gelagar Tipe T Bentang ......... meter</v>
          </cell>
          <cell r="D189" t="str">
            <v>Buah</v>
          </cell>
        </row>
        <row r="190">
          <cell r="A190" t="str">
            <v>7.2 (13) a</v>
          </cell>
          <cell r="C190" t="str">
            <v>Pemasangan Unit Pracetak Gelagar Tipe U Bentang ......... meter</v>
          </cell>
          <cell r="D190" t="str">
            <v>Buah</v>
          </cell>
        </row>
        <row r="191">
          <cell r="A191" t="str">
            <v>7.2 (13) b</v>
          </cell>
          <cell r="C191" t="str">
            <v>Pemasangan Unit Pracetak Gelagar Tipe U Bentang ......... meter</v>
          </cell>
          <cell r="D191" t="str">
            <v>Buah</v>
          </cell>
        </row>
        <row r="192">
          <cell r="A192" t="str">
            <v>7.2 (14) a</v>
          </cell>
          <cell r="C192" t="str">
            <v>Pemasangan Unit Pracetak Gelagar Tipe Y Bentang ......... meter</v>
          </cell>
          <cell r="D192" t="str">
            <v>Buah</v>
          </cell>
        </row>
        <row r="193">
          <cell r="A193" t="str">
            <v>7.2 (14) b</v>
          </cell>
          <cell r="C193" t="str">
            <v>Pemasangan Unit Pracetak Gelagar Tipe Y Bentang ......... meter</v>
          </cell>
          <cell r="D193" t="str">
            <v>Buah</v>
          </cell>
        </row>
        <row r="194">
          <cell r="A194" t="str">
            <v>7.2 (15) a</v>
          </cell>
          <cell r="C194" t="str">
            <v>Pemasangan Unit Pracetak Gelagar Tipe  Bentang ......... meter</v>
          </cell>
          <cell r="D194" t="str">
            <v>Buah</v>
          </cell>
        </row>
        <row r="195">
          <cell r="A195" t="str">
            <v>7.2 (15) b</v>
          </cell>
          <cell r="C195" t="str">
            <v>Pemasangan Unit Pracetak Gelagar Tipe  Bentang ......... meter</v>
          </cell>
          <cell r="D195" t="str">
            <v>Buah</v>
          </cell>
        </row>
        <row r="196">
          <cell r="A196" t="str">
            <v>7.2 (16) a</v>
          </cell>
          <cell r="C196" t="str">
            <v>Pemasangan Unit Pracetak Voided Slab Bentang ......... meter</v>
          </cell>
          <cell r="D196" t="str">
            <v>Buah</v>
          </cell>
        </row>
        <row r="197">
          <cell r="A197" t="str">
            <v>7.2 (16) b</v>
          </cell>
          <cell r="C197" t="str">
            <v>Pemasangan Unit Pracetak Voided Slab Bentang ......... meter</v>
          </cell>
          <cell r="D197" t="str">
            <v>Buah</v>
          </cell>
        </row>
        <row r="198">
          <cell r="A198" t="str">
            <v>7.2 (17) a</v>
          </cell>
          <cell r="C198" t="str">
            <v>Pemasangan Unit Pracetak Flat Slab Bentang ......... meter</v>
          </cell>
          <cell r="D198" t="str">
            <v>Buah</v>
          </cell>
        </row>
        <row r="199">
          <cell r="A199" t="str">
            <v>7.2 (17) b</v>
          </cell>
          <cell r="C199" t="str">
            <v>Pemasangan Unit Pracetak Flat Slab Bentang ......... meter</v>
          </cell>
          <cell r="D199" t="str">
            <v>Buah</v>
          </cell>
        </row>
        <row r="207">
          <cell r="H207" t="str">
            <v xml:space="preserve">DIVISI 7 berlanjut ke halaman berikut.  </v>
          </cell>
        </row>
        <row r="210">
          <cell r="A210" t="str">
            <v>7.3 (1)</v>
          </cell>
          <cell r="C210" t="str">
            <v>Baja Tulangan U24 Polos</v>
          </cell>
          <cell r="D210" t="str">
            <v>Kg</v>
          </cell>
          <cell r="E210">
            <v>500</v>
          </cell>
          <cell r="F210" t="e">
            <v>#REF!</v>
          </cell>
          <cell r="G210" t="e">
            <v>#REF!</v>
          </cell>
        </row>
        <row r="211">
          <cell r="A211" t="str">
            <v>7.3 (2)</v>
          </cell>
          <cell r="C211" t="str">
            <v>Baja Tulangan U32 Polos</v>
          </cell>
          <cell r="D211" t="str">
            <v>Kg</v>
          </cell>
        </row>
        <row r="212">
          <cell r="A212" t="str">
            <v>7.3 (3)</v>
          </cell>
          <cell r="C212" t="str">
            <v>Baja Tulangan D32 Ulir</v>
          </cell>
          <cell r="D212" t="str">
            <v>Kg</v>
          </cell>
        </row>
        <row r="213">
          <cell r="A213" t="str">
            <v>7.3 (4)</v>
          </cell>
          <cell r="C213" t="str">
            <v>Baja Tulangan D39 Ulir</v>
          </cell>
          <cell r="D213" t="str">
            <v>Kg</v>
          </cell>
        </row>
        <row r="214">
          <cell r="A214" t="str">
            <v>7.3 (5)</v>
          </cell>
          <cell r="C214" t="str">
            <v>Baja Tulangan D48 Ulir</v>
          </cell>
          <cell r="D214" t="str">
            <v>Kg</v>
          </cell>
        </row>
        <row r="216">
          <cell r="A216" t="str">
            <v>7.4 (1)</v>
          </cell>
          <cell r="C216" t="str">
            <v>Baja Struktur Ttk.Leleh 2500 kg/cm2, pengadaan &amp; pemasangan</v>
          </cell>
          <cell r="D216" t="str">
            <v>Kg</v>
          </cell>
        </row>
        <row r="217">
          <cell r="A217" t="str">
            <v>7.4 (2)</v>
          </cell>
          <cell r="C217" t="str">
            <v>Baja Struktur Ttk.Leleh 2800 kg/cm2, pengadaan &amp; pemasangan</v>
          </cell>
          <cell r="D217" t="str">
            <v>Kg</v>
          </cell>
        </row>
        <row r="218">
          <cell r="A218" t="str">
            <v>7.4 (3)</v>
          </cell>
          <cell r="C218" t="str">
            <v>Baja Struktur Ttk.Leleh 3500 kg/cm2, pengadaan &amp; pemasangan</v>
          </cell>
          <cell r="D218" t="str">
            <v>Kg</v>
          </cell>
        </row>
        <row r="219">
          <cell r="A219" t="str">
            <v>7.4 (4)</v>
          </cell>
          <cell r="C219" t="str">
            <v>Pemasangan Jembatan Baja</v>
          </cell>
          <cell r="D219" t="str">
            <v>Kg</v>
          </cell>
        </row>
        <row r="220">
          <cell r="A220" t="str">
            <v>7.4 (5)</v>
          </cell>
          <cell r="C220" t="str">
            <v>Pengangkutan Bahan Jembatan</v>
          </cell>
          <cell r="D220" t="str">
            <v>Kg</v>
          </cell>
        </row>
        <row r="221">
          <cell r="A221" t="str">
            <v>7.4 (6)</v>
          </cell>
          <cell r="C221" t="str">
            <v>Pengadaan Jembatan Rangka Baja</v>
          </cell>
          <cell r="D221" t="str">
            <v>Kg</v>
          </cell>
        </row>
        <row r="222">
          <cell r="A222" t="str">
            <v>7.4 (7)</v>
          </cell>
          <cell r="C222" t="str">
            <v>Pengadaan &amp; Pemasangan Jembatan Baja Komposit</v>
          </cell>
          <cell r="D222" t="str">
            <v>Kg</v>
          </cell>
        </row>
        <row r="223">
          <cell r="A223" t="str">
            <v>7.4 (8)</v>
          </cell>
          <cell r="C223" t="str">
            <v>Pengangkutan Bahan Jembatan Komposit</v>
          </cell>
          <cell r="D223" t="str">
            <v>Kg</v>
          </cell>
        </row>
        <row r="224">
          <cell r="A224" t="str">
            <v>7.5 (1)</v>
          </cell>
          <cell r="C224" t="str">
            <v>Lantai Kayu Jembatan</v>
          </cell>
          <cell r="D224" t="str">
            <v>M2</v>
          </cell>
        </row>
        <row r="225">
          <cell r="A225" t="str">
            <v>7.5 (2)</v>
          </cell>
          <cell r="C225" t="str">
            <v>Struktur Kayu Jembatan</v>
          </cell>
          <cell r="D225" t="str">
            <v>M3</v>
          </cell>
        </row>
        <row r="226">
          <cell r="A226" t="str">
            <v>7.6 (1)</v>
          </cell>
          <cell r="C226" t="str">
            <v>Pondasi Cerucuk, Pengadaan dan Pemancangan</v>
          </cell>
          <cell r="D226" t="str">
            <v>M1</v>
          </cell>
        </row>
        <row r="227">
          <cell r="A227" t="str">
            <v>7.6 (2)</v>
          </cell>
          <cell r="C227" t="str">
            <v>Dinding Turap Kayu Tanpa Pengawetan</v>
          </cell>
          <cell r="D227" t="str">
            <v>M2</v>
          </cell>
        </row>
        <row r="228">
          <cell r="A228" t="str">
            <v>7.6 (3)</v>
          </cell>
          <cell r="C228" t="str">
            <v>Dinding Turap Kayu Dengan Pengawetan</v>
          </cell>
          <cell r="D228" t="str">
            <v>M2</v>
          </cell>
        </row>
        <row r="229">
          <cell r="A229" t="str">
            <v>7.6 (4)</v>
          </cell>
          <cell r="C229" t="str">
            <v>Dinding Turap Baja</v>
          </cell>
          <cell r="D229" t="str">
            <v>M2</v>
          </cell>
        </row>
        <row r="230">
          <cell r="A230" t="str">
            <v>7.6 (5)</v>
          </cell>
          <cell r="C230" t="str">
            <v>Dinding Turap Beton</v>
          </cell>
          <cell r="D230" t="str">
            <v>M2</v>
          </cell>
        </row>
        <row r="231">
          <cell r="A231" t="str">
            <v>7.6 (6)</v>
          </cell>
          <cell r="C231" t="str">
            <v>Pengadaan Tiang Pancang Kayu Tanpa Pengawetan</v>
          </cell>
          <cell r="D231" t="str">
            <v>M3</v>
          </cell>
        </row>
        <row r="232">
          <cell r="A232" t="str">
            <v>7.6 (7)</v>
          </cell>
          <cell r="C232" t="str">
            <v>Pengadaan Tiang Pancang Kayu Dengan Pengawetan</v>
          </cell>
          <cell r="D232" t="str">
            <v>M3</v>
          </cell>
        </row>
        <row r="233">
          <cell r="A233" t="str">
            <v>7.6 (8)</v>
          </cell>
          <cell r="C233" t="str">
            <v>Pengadaan Tiang Pancang Baja</v>
          </cell>
          <cell r="D233" t="str">
            <v>Kg</v>
          </cell>
        </row>
        <row r="234">
          <cell r="A234" t="str">
            <v>7.6 (9) a</v>
          </cell>
          <cell r="C234" t="str">
            <v>Pengadaan Tiang Pnc. Beton Bertulang Pracetak Ukuran 40x40cm</v>
          </cell>
          <cell r="D234" t="str">
            <v>M3</v>
          </cell>
        </row>
        <row r="235">
          <cell r="A235" t="str">
            <v>7.6 (9) b</v>
          </cell>
          <cell r="C235" t="str">
            <v>Pengadaan Tiang Pnc. Beton Bertulang Pracetak Ukuran ..........</v>
          </cell>
          <cell r="D235" t="str">
            <v>M3</v>
          </cell>
        </row>
        <row r="236">
          <cell r="A236" t="str">
            <v>7.6 (10) a</v>
          </cell>
          <cell r="C236" t="str">
            <v>Pengadaan Tiang Pnc. Beton Pratekan Pracetak Ukuran Dia.40cm</v>
          </cell>
          <cell r="D236" t="str">
            <v>M1</v>
          </cell>
        </row>
        <row r="237">
          <cell r="A237" t="str">
            <v>7.6 (10) b</v>
          </cell>
          <cell r="C237" t="str">
            <v>Pengadaan Tiang Pnc. Beton Bertulang Ukuran Dia 40cm</v>
          </cell>
          <cell r="D237" t="str">
            <v>M1</v>
          </cell>
        </row>
        <row r="238">
          <cell r="A238" t="str">
            <v>7.6 (11) a</v>
          </cell>
          <cell r="C238" t="str">
            <v>Pemancangan Tiang Pancang Kayu Ukuran ..........</v>
          </cell>
          <cell r="D238" t="str">
            <v>M1</v>
          </cell>
        </row>
        <row r="239">
          <cell r="A239" t="str">
            <v>7.6 (11) b</v>
          </cell>
          <cell r="C239" t="str">
            <v>Pemancangan Tiang Pancang Kayu Ukuran ..........</v>
          </cell>
          <cell r="D239" t="str">
            <v>M1</v>
          </cell>
        </row>
        <row r="240">
          <cell r="A240" t="str">
            <v>7.6 (12) a</v>
          </cell>
          <cell r="C240" t="str">
            <v>Pemancangan Tiang Pancang Beton Kayu Ukuran 40x40cm</v>
          </cell>
          <cell r="D240" t="str">
            <v>M1</v>
          </cell>
        </row>
        <row r="241">
          <cell r="A241" t="str">
            <v>7.6 (12) b</v>
          </cell>
          <cell r="C241" t="str">
            <v>Pemancangan Tiang Pancang Beton Bertulang Ukuran Dia 40cm</v>
          </cell>
          <cell r="D241" t="str">
            <v>M1</v>
          </cell>
        </row>
        <row r="242">
          <cell r="A242" t="str">
            <v>7.6 (13) a</v>
          </cell>
          <cell r="C242" t="str">
            <v>Pemancangan Tiang Pancang Pipa Baja : Diameter 40cm</v>
          </cell>
          <cell r="D242" t="str">
            <v>M1</v>
          </cell>
        </row>
        <row r="243">
          <cell r="A243" t="str">
            <v>7.6 (13) b</v>
          </cell>
          <cell r="C243" t="str">
            <v>Pemancangan Tiang Pancang Pipa Baja : Diameter .............</v>
          </cell>
          <cell r="D243" t="str">
            <v>M1</v>
          </cell>
        </row>
        <row r="244">
          <cell r="A244" t="str">
            <v>7.6 (14)</v>
          </cell>
          <cell r="C244" t="str">
            <v>Pemancangan Tiang Pnc. Beton Pratekan Pracetak Ukuran Dia.40cm</v>
          </cell>
          <cell r="D244" t="str">
            <v>M1</v>
          </cell>
        </row>
        <row r="245">
          <cell r="A245" t="str">
            <v>7.6 (14) a</v>
          </cell>
          <cell r="C245" t="str">
            <v>Tiang Bor Beton, Diameter 600mm</v>
          </cell>
          <cell r="D245" t="str">
            <v>M1</v>
          </cell>
        </row>
        <row r="246">
          <cell r="A246" t="str">
            <v>7.6 (14) b</v>
          </cell>
          <cell r="C246" t="str">
            <v>Tiang Bor Beton, Diameter .............</v>
          </cell>
          <cell r="D246" t="str">
            <v>M1</v>
          </cell>
        </row>
        <row r="247">
          <cell r="A247" t="str">
            <v>7.6 (15)</v>
          </cell>
          <cell r="C247" t="str">
            <v>Tambahan Biaya untuk Nomor Mata Pembayaran 7.6 (11) s/d</v>
          </cell>
          <cell r="D247" t="str">
            <v>M1</v>
          </cell>
        </row>
        <row r="248">
          <cell r="C248" t="str">
            <v>7.6 (13) bila Tiang Pancang Dikerjakan di Tempat Berair</v>
          </cell>
        </row>
        <row r="249">
          <cell r="A249" t="str">
            <v>7.6 (16)</v>
          </cell>
          <cell r="C249" t="str">
            <v>Tambahan Biaya untuk Nomor Mata Pembayaran 7.6 (14)</v>
          </cell>
          <cell r="D249" t="str">
            <v>M1</v>
          </cell>
        </row>
        <row r="250">
          <cell r="C250" t="str">
            <v>bila Tiang Bor Beton Dikerjakan di Tempat Berair</v>
          </cell>
        </row>
        <row r="251">
          <cell r="A251" t="str">
            <v>7.6 (17) a</v>
          </cell>
          <cell r="C251" t="str">
            <v>Tiang Uji Ukuran ............</v>
          </cell>
          <cell r="D251" t="str">
            <v>M1</v>
          </cell>
        </row>
        <row r="252">
          <cell r="A252" t="str">
            <v>7.6 (17) b</v>
          </cell>
          <cell r="C252" t="str">
            <v>Tiang Uji Ukuran ............</v>
          </cell>
          <cell r="D252" t="str">
            <v>M1</v>
          </cell>
        </row>
        <row r="253">
          <cell r="A253" t="str">
            <v>7.6 (18)</v>
          </cell>
          <cell r="C253" t="str">
            <v>Pengujian Pembebanan Statis Pada Tiang dgn. Dia. s/d 600 mm</v>
          </cell>
          <cell r="D253" t="str">
            <v>Buah</v>
          </cell>
        </row>
        <row r="254">
          <cell r="A254" t="str">
            <v>7.6 (19)</v>
          </cell>
          <cell r="C254" t="str">
            <v>Pengujian Pembebanan Statis Pada Tiang dgn. Dia. &gt; 600 mm</v>
          </cell>
          <cell r="D254" t="str">
            <v>Buah</v>
          </cell>
        </row>
        <row r="255">
          <cell r="A255" t="str">
            <v>7.6 (20)</v>
          </cell>
          <cell r="C255" t="str">
            <v>Pengujian Pembebanan Dinamis Pada Tiang dgn. Dia. s/d 600 mm</v>
          </cell>
          <cell r="D255" t="str">
            <v>Buah</v>
          </cell>
        </row>
        <row r="256">
          <cell r="A256" t="str">
            <v>7.6 (21)</v>
          </cell>
          <cell r="C256" t="str">
            <v>Pengujian Pembebanan Dinamis Pada Tiang dgn. Dia. &gt; 600 mm</v>
          </cell>
          <cell r="D256" t="str">
            <v>Buah</v>
          </cell>
        </row>
        <row r="260">
          <cell r="H260" t="str">
            <v xml:space="preserve">DIVISI 7 berlanjut ke halaman berikut.  </v>
          </cell>
        </row>
        <row r="263">
          <cell r="A263" t="str">
            <v>7.7 (1) b</v>
          </cell>
          <cell r="C263" t="str">
            <v>Penyediaan Dinding Sumuran Silinder, Diameter 300cm</v>
          </cell>
          <cell r="D263" t="str">
            <v>M1</v>
          </cell>
        </row>
        <row r="264">
          <cell r="A264" t="str">
            <v>7.7 (1) c</v>
          </cell>
          <cell r="C264" t="str">
            <v>Penyediaan Dinding Sumuran Silinder, Diameter 350cm</v>
          </cell>
          <cell r="D264" t="str">
            <v>M1</v>
          </cell>
        </row>
        <row r="265">
          <cell r="A265" t="str">
            <v>7.7 (2) b</v>
          </cell>
          <cell r="C265" t="str">
            <v>Penurunan Dinding Sumuran Silinder, Diameter 300cm</v>
          </cell>
          <cell r="D265" t="str">
            <v>M1</v>
          </cell>
        </row>
        <row r="266">
          <cell r="A266" t="str">
            <v>7.7 (2) c</v>
          </cell>
          <cell r="C266" t="str">
            <v>Penurunan Dinding Sumuran Silinder, Diameter 350cm</v>
          </cell>
          <cell r="D266" t="str">
            <v>M1</v>
          </cell>
        </row>
        <row r="268">
          <cell r="A268" t="str">
            <v>7.9</v>
          </cell>
          <cell r="C268" t="str">
            <v>Pasangan Batu</v>
          </cell>
          <cell r="D268" t="str">
            <v>M3</v>
          </cell>
          <cell r="E268">
            <v>31.2</v>
          </cell>
          <cell r="F268" t="e">
            <v>#REF!</v>
          </cell>
          <cell r="G268" t="e">
            <v>#REF!</v>
          </cell>
        </row>
        <row r="270">
          <cell r="A270" t="str">
            <v>7.10 (1)</v>
          </cell>
          <cell r="C270" t="str">
            <v>Pasangan Batu Kosong Yang Diisi Adukan</v>
          </cell>
          <cell r="D270" t="str">
            <v>M3</v>
          </cell>
        </row>
        <row r="271">
          <cell r="A271" t="str">
            <v>7.10 (2)</v>
          </cell>
          <cell r="C271" t="str">
            <v>Pasangan Batu Kosong</v>
          </cell>
          <cell r="D271" t="str">
            <v>M3</v>
          </cell>
        </row>
        <row r="272">
          <cell r="A272" t="str">
            <v>7.10 (3)</v>
          </cell>
          <cell r="C272" t="str">
            <v>Bronjong</v>
          </cell>
          <cell r="D272" t="str">
            <v>M3</v>
          </cell>
        </row>
        <row r="274">
          <cell r="A274" t="str">
            <v>7.11 (1) a</v>
          </cell>
          <cell r="C274" t="str">
            <v>Expansion Joint Tipe Tertutup, Tipe ..............</v>
          </cell>
          <cell r="D274" t="str">
            <v>M1</v>
          </cell>
        </row>
        <row r="275">
          <cell r="A275" t="str">
            <v>7.11 (1) b</v>
          </cell>
          <cell r="C275" t="str">
            <v>Expansion Joint Tipe Tertutup, Tipe ..............</v>
          </cell>
          <cell r="D275" t="str">
            <v>M1</v>
          </cell>
        </row>
        <row r="276">
          <cell r="A276" t="str">
            <v>7.11 (2) a</v>
          </cell>
          <cell r="C276" t="str">
            <v>Expansion Joint Tipe Terbuka, Tipe ..............</v>
          </cell>
          <cell r="D276" t="str">
            <v>M1</v>
          </cell>
        </row>
        <row r="277">
          <cell r="A277" t="str">
            <v>7.11 (2) b</v>
          </cell>
          <cell r="C277" t="str">
            <v>Expansion Joint Tipe Terbuka, Tipe ..............</v>
          </cell>
          <cell r="D277" t="str">
            <v>M1</v>
          </cell>
        </row>
        <row r="278">
          <cell r="A278" t="str">
            <v>7.11 (3)</v>
          </cell>
          <cell r="C278" t="str">
            <v>Joint Filler untuk Expansion Joint</v>
          </cell>
          <cell r="D278" t="str">
            <v>M1</v>
          </cell>
        </row>
        <row r="279">
          <cell r="A279" t="str">
            <v>7.11 (3)a</v>
          </cell>
          <cell r="C279" t="str">
            <v>Expansion Joint Tipe Baja Bersudut</v>
          </cell>
          <cell r="D279" t="str">
            <v>M1</v>
          </cell>
        </row>
        <row r="280">
          <cell r="A280" t="str">
            <v>7.12 (1) a</v>
          </cell>
          <cell r="C280" t="str">
            <v>Perletakan Logam Tipe ............</v>
          </cell>
          <cell r="D280" t="str">
            <v>Buah</v>
          </cell>
        </row>
        <row r="281">
          <cell r="A281" t="str">
            <v>7.12 (1) b</v>
          </cell>
          <cell r="C281" t="str">
            <v>Perletakan Logam Tipe ............</v>
          </cell>
          <cell r="D281" t="str">
            <v>Buah</v>
          </cell>
        </row>
        <row r="282">
          <cell r="A282" t="str">
            <v>7.12 (2) a</v>
          </cell>
          <cell r="C282" t="str">
            <v>Perletakan Elastomer Bearing Pet (28 x 40 x 4,6)</v>
          </cell>
          <cell r="D282" t="str">
            <v>Buah</v>
          </cell>
        </row>
        <row r="283">
          <cell r="A283" t="str">
            <v>7.12 (2) b</v>
          </cell>
          <cell r="C283" t="str">
            <v>Perletakan Elastomer Alam Tipe ........</v>
          </cell>
          <cell r="D283" t="str">
            <v>Buah</v>
          </cell>
        </row>
        <row r="284">
          <cell r="A284" t="str">
            <v>7.12 (3) a</v>
          </cell>
          <cell r="C284" t="str">
            <v>Perletakan Elastomer Neoprene Tipe ........</v>
          </cell>
          <cell r="D284" t="str">
            <v>Buah</v>
          </cell>
        </row>
        <row r="285">
          <cell r="A285" t="str">
            <v>7.12 (3) b</v>
          </cell>
          <cell r="C285" t="str">
            <v>Perletakan Elastomer Neoprene Tipe ........</v>
          </cell>
          <cell r="D285" t="str">
            <v>Buah</v>
          </cell>
        </row>
        <row r="286">
          <cell r="A286" t="str">
            <v>7.12 (4) a</v>
          </cell>
          <cell r="C286" t="str">
            <v>Perletakan Strip Tipe .........</v>
          </cell>
          <cell r="D286" t="str">
            <v>M1</v>
          </cell>
        </row>
        <row r="287">
          <cell r="A287" t="str">
            <v>7.12 (4) b</v>
          </cell>
          <cell r="C287" t="str">
            <v>Perletakan Strip Tipe .........</v>
          </cell>
          <cell r="D287" t="str">
            <v>M1</v>
          </cell>
        </row>
        <row r="288">
          <cell r="A288" t="str">
            <v>7.12 (5) a</v>
          </cell>
          <cell r="C288" t="str">
            <v>Perletakan Jenis Khusus Tipe ............</v>
          </cell>
          <cell r="D288" t="str">
            <v>M1</v>
          </cell>
        </row>
        <row r="289">
          <cell r="A289" t="str">
            <v>7.12 (5) b</v>
          </cell>
          <cell r="C289" t="str">
            <v>Perletakan Jenis Khusus Tipe ............</v>
          </cell>
          <cell r="D289" t="str">
            <v>M1</v>
          </cell>
        </row>
        <row r="291">
          <cell r="A291" t="str">
            <v>7.13</v>
          </cell>
          <cell r="C291" t="str">
            <v>Sandaran Jembatan Baja</v>
          </cell>
          <cell r="D291" t="str">
            <v>M1</v>
          </cell>
        </row>
        <row r="293">
          <cell r="A293" t="str">
            <v>7.14 (1)</v>
          </cell>
          <cell r="C293" t="str">
            <v>Pembongkaran Pasangan Batu</v>
          </cell>
          <cell r="D293" t="str">
            <v>M2</v>
          </cell>
        </row>
        <row r="294">
          <cell r="A294" t="str">
            <v>7.14 (2)</v>
          </cell>
          <cell r="C294" t="str">
            <v>Pembongkaran Beton</v>
          </cell>
          <cell r="D294" t="str">
            <v>M3</v>
          </cell>
        </row>
        <row r="295">
          <cell r="A295" t="str">
            <v>7.14 (3)</v>
          </cell>
          <cell r="C295" t="str">
            <v>Pembongkaran Beton Pratekan</v>
          </cell>
          <cell r="D295" t="str">
            <v>M3</v>
          </cell>
        </row>
        <row r="296">
          <cell r="A296" t="str">
            <v>7.14 (4)</v>
          </cell>
          <cell r="C296" t="str">
            <v>Pembongkaran Bangunan Gedung</v>
          </cell>
          <cell r="D296" t="str">
            <v>M2</v>
          </cell>
        </row>
        <row r="297">
          <cell r="A297" t="str">
            <v>7.14 (5)</v>
          </cell>
          <cell r="C297" t="str">
            <v>Pembongkaran Rangka Baja</v>
          </cell>
          <cell r="D297" t="str">
            <v>M2</v>
          </cell>
        </row>
        <row r="298">
          <cell r="A298" t="str">
            <v>7.14 (6)</v>
          </cell>
          <cell r="C298" t="str">
            <v>Pembongkaran Balok Baja (Steel Stringers)</v>
          </cell>
          <cell r="D298" t="str">
            <v>M1</v>
          </cell>
        </row>
        <row r="299">
          <cell r="A299" t="str">
            <v>7.14 (7)</v>
          </cell>
          <cell r="C299" t="str">
            <v>Pembongkaran Lantai Jembatan Kayu</v>
          </cell>
          <cell r="D299" t="str">
            <v>M2</v>
          </cell>
        </row>
        <row r="300">
          <cell r="A300" t="str">
            <v>7.14 (8)</v>
          </cell>
          <cell r="C300" t="str">
            <v>Pembongkaran Jembatan Kayu</v>
          </cell>
          <cell r="D300" t="str">
            <v>M2</v>
          </cell>
        </row>
        <row r="301">
          <cell r="A301" t="str">
            <v>7.14 (8)</v>
          </cell>
          <cell r="C301" t="str">
            <v>Pengangkutan Hasil Bongkaran yang Melebihi 5 Km.</v>
          </cell>
          <cell r="D301" t="str">
            <v>M3/Km</v>
          </cell>
        </row>
        <row r="305">
          <cell r="B305" t="str">
            <v>Jumlah Harga Pekerjaan DIVISI 7  (masuk pada Rekapitulasi Perkiraan Harga Pekerjaan)</v>
          </cell>
          <cell r="G305" t="e">
            <v>#REF!</v>
          </cell>
        </row>
        <row r="308">
          <cell r="C308" t="str">
            <v>DIVISI  8.  PENGEMBALIAN  KONDISI  DAN  PEKERJAAN  MINOR</v>
          </cell>
        </row>
        <row r="310">
          <cell r="A310" t="str">
            <v>8.1 (1)</v>
          </cell>
          <cell r="C310" t="str">
            <v>Lapis Pondasi agregat Kelas A untuk Pekerjaan Minor</v>
          </cell>
          <cell r="D310" t="str">
            <v>M3</v>
          </cell>
        </row>
        <row r="311">
          <cell r="A311" t="str">
            <v>8.1 (2)</v>
          </cell>
          <cell r="C311" t="str">
            <v>Lapis Pondasi agregat Kelas B untuk Pekerjaan Minor</v>
          </cell>
          <cell r="D311" t="str">
            <v>M3</v>
          </cell>
        </row>
        <row r="312">
          <cell r="A312" t="str">
            <v>8.1 (3)</v>
          </cell>
          <cell r="C312" t="str">
            <v>Agregat utk.Lapis Pondasi Jalan Tanpa Penutup utk. Pek. Minor</v>
          </cell>
          <cell r="D312" t="str">
            <v>M3</v>
          </cell>
        </row>
        <row r="313">
          <cell r="A313" t="str">
            <v>8.1 (4)</v>
          </cell>
          <cell r="C313" t="str">
            <v>Waterbound Macadam untuk Pekerjaan Minor</v>
          </cell>
          <cell r="D313" t="str">
            <v>M3</v>
          </cell>
        </row>
        <row r="314">
          <cell r="A314" t="str">
            <v>8.1 (5)</v>
          </cell>
          <cell r="C314" t="str">
            <v>Campuran Aspal Panas untuk Pekerjaan Minor</v>
          </cell>
          <cell r="D314" t="str">
            <v>M3</v>
          </cell>
        </row>
        <row r="315">
          <cell r="A315" t="str">
            <v>8.1 (6)</v>
          </cell>
          <cell r="C315" t="str">
            <v>Lasbutag atau Latasbusir untuk Pekerjaan minor</v>
          </cell>
          <cell r="D315" t="str">
            <v>M3</v>
          </cell>
        </row>
        <row r="316">
          <cell r="A316" t="str">
            <v>8.1 (7)</v>
          </cell>
          <cell r="C316" t="str">
            <v>Penetrasi Macadam untuk Pekerjaan Minor</v>
          </cell>
          <cell r="D316" t="str">
            <v>M3</v>
          </cell>
        </row>
        <row r="317">
          <cell r="A317" t="str">
            <v>8.1 (8)</v>
          </cell>
          <cell r="C317" t="str">
            <v>Campuran Aspal Dingin untuk Pekerjaan Minor</v>
          </cell>
          <cell r="D317" t="str">
            <v>M3</v>
          </cell>
        </row>
        <row r="318">
          <cell r="A318" t="str">
            <v>8.1 (9)</v>
          </cell>
          <cell r="C318" t="str">
            <v>Residu Bitumen untuk Pekerjaan Minor</v>
          </cell>
          <cell r="D318" t="str">
            <v>Liter</v>
          </cell>
        </row>
        <row r="320">
          <cell r="A320" t="str">
            <v>8.2 (1)</v>
          </cell>
          <cell r="C320" t="str">
            <v>Perbaikan Pada Bahu Jalan dan Pekerjaan Minor Lainnya</v>
          </cell>
          <cell r="D320" t="str">
            <v>M2</v>
          </cell>
        </row>
        <row r="322">
          <cell r="A322" t="str">
            <v>8.4 (1)</v>
          </cell>
          <cell r="C322" t="str">
            <v>Marka Jalan Thermoplastic</v>
          </cell>
          <cell r="D322" t="str">
            <v>M2</v>
          </cell>
        </row>
        <row r="323">
          <cell r="A323" t="str">
            <v>8.4 (2)</v>
          </cell>
          <cell r="C323" t="str">
            <v>Marka Jalan Bukan Thermoplastic</v>
          </cell>
          <cell r="D323" t="str">
            <v>M2</v>
          </cell>
        </row>
        <row r="324">
          <cell r="A324" t="str">
            <v>8.4 (3)</v>
          </cell>
          <cell r="C324" t="str">
            <v>Rumble Strip</v>
          </cell>
          <cell r="D324" t="str">
            <v>M2</v>
          </cell>
        </row>
        <row r="325">
          <cell r="A325" t="str">
            <v>8.4 (4) a</v>
          </cell>
          <cell r="C325" t="str">
            <v>Rambu Jalan dgn. Permukaan Pantul Engineering Grade Tipe .......</v>
          </cell>
          <cell r="D325" t="str">
            <v>Buah</v>
          </cell>
        </row>
        <row r="326">
          <cell r="A326" t="str">
            <v>8.4 (4) b</v>
          </cell>
          <cell r="C326" t="str">
            <v>Rambu Jalan dgn. Permukaan Pantul Engineering Grade Tipe .......</v>
          </cell>
          <cell r="D326" t="str">
            <v>Buah</v>
          </cell>
        </row>
        <row r="327">
          <cell r="A327" t="str">
            <v>8.4 (5) a</v>
          </cell>
          <cell r="C327" t="str">
            <v>Rambu Jalan dgn. Permukaan Pantul High Intensity Grade Tipe ......</v>
          </cell>
          <cell r="D327" t="str">
            <v>Buah</v>
          </cell>
        </row>
        <row r="328">
          <cell r="A328" t="str">
            <v>8.4 (5) b</v>
          </cell>
          <cell r="C328" t="str">
            <v>Rambu Jalan dgn. Permukaan Pantul High Intensity Grade Tipe ......</v>
          </cell>
          <cell r="D328" t="str">
            <v>Buah</v>
          </cell>
        </row>
        <row r="329">
          <cell r="A329" t="str">
            <v>8.4 (6) a</v>
          </cell>
          <cell r="C329" t="str">
            <v>Patok Pengarah Tipe ..............</v>
          </cell>
          <cell r="D329" t="str">
            <v>Buah</v>
          </cell>
        </row>
        <row r="330">
          <cell r="A330" t="str">
            <v>8.4 (6) b</v>
          </cell>
          <cell r="C330" t="str">
            <v>Patok Pengarah Tipe ..............</v>
          </cell>
          <cell r="D330" t="str">
            <v>Buah</v>
          </cell>
        </row>
        <row r="331">
          <cell r="A331" t="str">
            <v>8.4 (6)</v>
          </cell>
          <cell r="C331" t="str">
            <v>Patok Kilometer</v>
          </cell>
          <cell r="D331" t="str">
            <v>Buah</v>
          </cell>
        </row>
        <row r="332">
          <cell r="A332" t="str">
            <v>8.4 (8)</v>
          </cell>
          <cell r="C332" t="str">
            <v>Patok Hektometer</v>
          </cell>
          <cell r="D332" t="str">
            <v>Buah</v>
          </cell>
        </row>
        <row r="333">
          <cell r="A333" t="str">
            <v>8.4 (9)</v>
          </cell>
          <cell r="C333" t="str">
            <v>Patok Damija</v>
          </cell>
          <cell r="D333" t="str">
            <v>Buah</v>
          </cell>
        </row>
        <row r="334">
          <cell r="A334" t="str">
            <v>8.4 (10)</v>
          </cell>
          <cell r="C334" t="str">
            <v>Rel Pengaman</v>
          </cell>
          <cell r="D334" t="str">
            <v>M1</v>
          </cell>
        </row>
        <row r="335">
          <cell r="A335" t="str">
            <v>8.4 (11) a</v>
          </cell>
          <cell r="C335" t="str">
            <v>Paku Jalan (Road Stud) Tipe .........</v>
          </cell>
          <cell r="D335" t="str">
            <v>Buah</v>
          </cell>
        </row>
        <row r="336">
          <cell r="A336" t="str">
            <v>8.4 (11) b</v>
          </cell>
          <cell r="C336" t="str">
            <v>Paku Jalan (Road Stud) Tipe .........</v>
          </cell>
          <cell r="D336" t="str">
            <v>Buah</v>
          </cell>
        </row>
        <row r="337">
          <cell r="A337" t="str">
            <v>8.4 (12) a</v>
          </cell>
          <cell r="C337" t="str">
            <v>Mata Kucing (Cat Eyes) Tipe .........</v>
          </cell>
          <cell r="D337" t="str">
            <v>Buah</v>
          </cell>
        </row>
        <row r="338">
          <cell r="A338" t="str">
            <v>8.4 (12) b</v>
          </cell>
          <cell r="C338" t="str">
            <v>Mata Kucing (Cat Eyes) Tipe .........</v>
          </cell>
          <cell r="D338" t="str">
            <v>Buah</v>
          </cell>
        </row>
        <row r="339">
          <cell r="A339" t="str">
            <v>8.4 (13)</v>
          </cell>
          <cell r="C339" t="str">
            <v>Kerb Pracetak</v>
          </cell>
          <cell r="D339" t="str">
            <v>Buah</v>
          </cell>
        </row>
        <row r="340">
          <cell r="A340" t="str">
            <v>8.4 (14)</v>
          </cell>
          <cell r="C340" t="str">
            <v>Kerb Yang Digunakan Kembali</v>
          </cell>
          <cell r="D340" t="str">
            <v>Buah</v>
          </cell>
        </row>
        <row r="341">
          <cell r="A341" t="str">
            <v>8.4 (15)</v>
          </cell>
          <cell r="C341" t="str">
            <v>Perkerasan Blok Beton</v>
          </cell>
          <cell r="D341" t="str">
            <v>M2</v>
          </cell>
        </row>
        <row r="342">
          <cell r="A342" t="str">
            <v>8.4 (16) a</v>
          </cell>
          <cell r="C342" t="str">
            <v>Tutup Baja Untuk Lubang Drainase Tipe .........</v>
          </cell>
          <cell r="D342" t="str">
            <v>Buah</v>
          </cell>
        </row>
        <row r="343">
          <cell r="A343" t="str">
            <v>8.4 (16) b</v>
          </cell>
          <cell r="C343" t="str">
            <v>Tutup Baja Untuk Lubang Drainase Tipe .........</v>
          </cell>
          <cell r="D343" t="str">
            <v>Buah</v>
          </cell>
        </row>
        <row r="344">
          <cell r="A344" t="str">
            <v>8.4 (17)</v>
          </cell>
          <cell r="C344" t="str">
            <v>Pipa Untuk Pembuangan Air Dari Jembatan</v>
          </cell>
          <cell r="D344" t="str">
            <v>M1</v>
          </cell>
        </row>
        <row r="345">
          <cell r="A345" t="str">
            <v>8.4 (18)</v>
          </cell>
          <cell r="C345" t="str">
            <v>Papan Nama Jembatan</v>
          </cell>
          <cell r="D345" t="str">
            <v>Buah</v>
          </cell>
        </row>
        <row r="346">
          <cell r="A346" t="str">
            <v>8.4 (19)</v>
          </cell>
          <cell r="C346" t="str">
            <v>Lampu Penerangan Jalan Lengan Tunggal</v>
          </cell>
          <cell r="D346" t="str">
            <v>Buah</v>
          </cell>
        </row>
        <row r="347">
          <cell r="A347" t="str">
            <v>8.4 (20)</v>
          </cell>
          <cell r="C347" t="str">
            <v>Lampu Penerangan Jalan Lengan Ganda</v>
          </cell>
          <cell r="D347" t="str">
            <v>Buah</v>
          </cell>
        </row>
        <row r="348">
          <cell r="A348" t="str">
            <v>8.4 (21)</v>
          </cell>
          <cell r="C348" t="str">
            <v>Sistem &amp; Pesawat Pengatur Lalu Lintas</v>
          </cell>
          <cell r="D348" t="str">
            <v>LS</v>
          </cell>
        </row>
        <row r="350">
          <cell r="A350" t="str">
            <v>8.5 (1)</v>
          </cell>
          <cell r="C350" t="str">
            <v>Pengembalian Kondisi Lantai Jembatan Beton</v>
          </cell>
          <cell r="D350" t="str">
            <v>M2</v>
          </cell>
        </row>
        <row r="351">
          <cell r="A351" t="str">
            <v>8.5 (2)</v>
          </cell>
          <cell r="C351" t="str">
            <v>Pengembalian Kondisi Lantai Jembatan Kayu</v>
          </cell>
          <cell r="D351" t="str">
            <v>M2</v>
          </cell>
        </row>
        <row r="352">
          <cell r="A352" t="str">
            <v>8.5 (3) a</v>
          </cell>
          <cell r="C352" t="str">
            <v>Pengembalian Kond. Pelapisan Permukaan Baja Struktur Galvanis</v>
          </cell>
          <cell r="D352" t="str">
            <v>M2</v>
          </cell>
        </row>
        <row r="353">
          <cell r="A353" t="str">
            <v>8.5 (3) b</v>
          </cell>
          <cell r="C353" t="str">
            <v>Pengembalian Kond. Pelapisan Permukaan Baja Struk. Non Galvanis</v>
          </cell>
          <cell r="D353" t="str">
            <v>M2</v>
          </cell>
        </row>
        <row r="357">
          <cell r="B357" t="str">
            <v>Jumlah Harga Pekerjaan DIVISI 8  (masuk pada Rekapitulasi Perkiraan Harga Pekerjaan)</v>
          </cell>
        </row>
        <row r="360">
          <cell r="C360" t="str">
            <v>DIVISI  9.  PEKERJAAN  HARIAN</v>
          </cell>
        </row>
        <row r="362">
          <cell r="A362" t="str">
            <v>9.1(1)</v>
          </cell>
          <cell r="C362" t="str">
            <v>Mandor</v>
          </cell>
          <cell r="D362" t="str">
            <v>Jam</v>
          </cell>
        </row>
        <row r="363">
          <cell r="A363" t="str">
            <v>9.1(2)</v>
          </cell>
          <cell r="C363" t="str">
            <v>Pekerja Biasa</v>
          </cell>
          <cell r="D363" t="str">
            <v>Jam</v>
          </cell>
        </row>
        <row r="364">
          <cell r="A364" t="str">
            <v>9.1(3)</v>
          </cell>
          <cell r="C364" t="str">
            <v>Tukang Kayu, Tukang Batu, dsb</v>
          </cell>
          <cell r="D364" t="str">
            <v>Jam</v>
          </cell>
        </row>
        <row r="365">
          <cell r="A365" t="str">
            <v>9.1(4)</v>
          </cell>
          <cell r="C365" t="str">
            <v>Dump Truck 3 - 4 M3</v>
          </cell>
          <cell r="D365" t="str">
            <v>Jam</v>
          </cell>
        </row>
        <row r="366">
          <cell r="A366" t="str">
            <v>9.1(5)</v>
          </cell>
          <cell r="C366" t="str">
            <v>Truk Bak Datar 3 - 4 M3</v>
          </cell>
          <cell r="D366" t="str">
            <v>Jam</v>
          </cell>
        </row>
        <row r="367">
          <cell r="A367" t="str">
            <v>9.1(6)</v>
          </cell>
          <cell r="C367" t="str">
            <v>Truk Tangki 3000 - 4500 Liter</v>
          </cell>
          <cell r="D367" t="str">
            <v>Jam</v>
          </cell>
        </row>
        <row r="368">
          <cell r="A368" t="str">
            <v>9.1(7)</v>
          </cell>
          <cell r="C368" t="str">
            <v>Bulldozer 100 - 150 HP</v>
          </cell>
          <cell r="D368" t="str">
            <v>Jam</v>
          </cell>
        </row>
        <row r="369">
          <cell r="A369" t="str">
            <v>9.1(8)</v>
          </cell>
          <cell r="C369" t="str">
            <v>Motor Grader min 100 HP</v>
          </cell>
          <cell r="D369" t="str">
            <v>Jam</v>
          </cell>
        </row>
        <row r="370">
          <cell r="A370" t="str">
            <v>9.1(9)</v>
          </cell>
          <cell r="C370" t="str">
            <v>Loader Roda Karet 1.0 - 1.6 M3</v>
          </cell>
          <cell r="D370" t="str">
            <v>Jam</v>
          </cell>
        </row>
        <row r="371">
          <cell r="A371" t="str">
            <v>9.1(10)</v>
          </cell>
          <cell r="C371" t="str">
            <v>Loader Roda Berantai 75 - 100 HP</v>
          </cell>
          <cell r="D371" t="str">
            <v>Jam</v>
          </cell>
        </row>
        <row r="372">
          <cell r="A372" t="str">
            <v>9.1(11)</v>
          </cell>
          <cell r="C372" t="str">
            <v>Alat Penggali (Excavator) 80 - 140 HP</v>
          </cell>
          <cell r="D372" t="str">
            <v>Jam</v>
          </cell>
        </row>
        <row r="373">
          <cell r="A373" t="str">
            <v>9.1(12)</v>
          </cell>
          <cell r="C373" t="str">
            <v>Crane 10 - 15 Ton</v>
          </cell>
          <cell r="D373" t="str">
            <v>Jam</v>
          </cell>
        </row>
        <row r="374">
          <cell r="A374" t="str">
            <v>9.1(13)</v>
          </cell>
          <cell r="C374" t="str">
            <v>Penggilas Roda Besi 6 - 9 Ton</v>
          </cell>
          <cell r="D374" t="str">
            <v>Jam</v>
          </cell>
        </row>
        <row r="375">
          <cell r="A375" t="str">
            <v>9.1(14)</v>
          </cell>
          <cell r="C375" t="str">
            <v>Penggilas Bervibrasi  5 - 8  Ton</v>
          </cell>
          <cell r="D375" t="str">
            <v>Jam</v>
          </cell>
        </row>
        <row r="376">
          <cell r="A376" t="str">
            <v>9.1(15)</v>
          </cell>
          <cell r="C376" t="str">
            <v>Pemadat Bervibrasi 1.5 - 3.0 HP</v>
          </cell>
          <cell r="D376" t="str">
            <v>Jam</v>
          </cell>
        </row>
        <row r="377">
          <cell r="A377" t="str">
            <v>9.1(16)</v>
          </cell>
          <cell r="C377" t="str">
            <v>Penggilas Roda Karet 8 - 10 Ton</v>
          </cell>
          <cell r="D377" t="str">
            <v>Jam</v>
          </cell>
        </row>
        <row r="378">
          <cell r="A378" t="str">
            <v>9.1(17)</v>
          </cell>
          <cell r="C378" t="str">
            <v>Kompresor 4000 - 6500 Ltr/mnt</v>
          </cell>
          <cell r="D378" t="str">
            <v>Jam</v>
          </cell>
        </row>
        <row r="379">
          <cell r="A379" t="str">
            <v>9.1(18)</v>
          </cell>
          <cell r="C379" t="str">
            <v>Beton Molen 0.3 - 0.6 M3</v>
          </cell>
          <cell r="D379" t="str">
            <v>Jam</v>
          </cell>
        </row>
        <row r="380">
          <cell r="A380" t="str">
            <v>9.1(19)</v>
          </cell>
          <cell r="C380" t="str">
            <v>Pompa Air 70 - 100 MM</v>
          </cell>
          <cell r="D380" t="str">
            <v>Jam</v>
          </cell>
        </row>
        <row r="381">
          <cell r="A381" t="str">
            <v>9.1(20)</v>
          </cell>
          <cell r="C381" t="str">
            <v>Jack Hammer</v>
          </cell>
          <cell r="D381" t="str">
            <v>Jam</v>
          </cell>
        </row>
        <row r="384">
          <cell r="B384" t="str">
            <v>Jumlah Harga Pekerjaan DIVISI 9  (masuk pada Rekapitulasi Perkiraan Harga Pekerjaan)</v>
          </cell>
        </row>
        <row r="387">
          <cell r="C387" t="str">
            <v>DIVISI  10.  PEKERJAAN PEMELIHARAAN RUTIN</v>
          </cell>
        </row>
        <row r="389">
          <cell r="A389" t="str">
            <v>10.1 (1)</v>
          </cell>
          <cell r="C389" t="str">
            <v>Pemeliharaan Rutin Perkerasan</v>
          </cell>
          <cell r="D389" t="str">
            <v>LS</v>
          </cell>
        </row>
        <row r="390">
          <cell r="A390" t="str">
            <v>10.1 (2)a</v>
          </cell>
          <cell r="C390" t="str">
            <v>Pemeliharaan Rutin Bahu Jalan</v>
          </cell>
          <cell r="D390" t="str">
            <v>LS</v>
          </cell>
        </row>
        <row r="391">
          <cell r="A391" t="str">
            <v>10.1 (2.b)</v>
          </cell>
          <cell r="C391" t="str">
            <v>Pemeliharaan Rutin damija (pemotongan rumput, batang, akar &amp; sampah dll.</v>
          </cell>
          <cell r="D391" t="str">
            <v>M2</v>
          </cell>
        </row>
        <row r="392">
          <cell r="A392" t="str">
            <v>10.1 (3)</v>
          </cell>
          <cell r="C392" t="str">
            <v>Pemeliharaan Rutin Selokan, Saluran Air, Galian &amp; Timbunan</v>
          </cell>
          <cell r="D392" t="str">
            <v>LS</v>
          </cell>
        </row>
        <row r="393">
          <cell r="A393" t="str">
            <v>10.1 (4)</v>
          </cell>
          <cell r="C393" t="str">
            <v>Pemeliharaan Rutin Perlengkapan Jalan</v>
          </cell>
          <cell r="D393" t="str">
            <v>LS</v>
          </cell>
        </row>
        <row r="394">
          <cell r="A394" t="str">
            <v>10.1 (5)</v>
          </cell>
          <cell r="C394" t="str">
            <v>Pemeliharaan Rutin Jembatan</v>
          </cell>
          <cell r="D394" t="str">
            <v>LS</v>
          </cell>
        </row>
        <row r="398">
          <cell r="B398" t="str">
            <v>Jumlah Harga Pekerjaan DIVISI 10  (masuk pada Rekapitulasi Perkiraan Harga Pekerjaan)</v>
          </cell>
          <cell r="G398">
            <v>0</v>
          </cell>
        </row>
      </sheetData>
      <sheetData sheetId="4">
        <row r="33">
          <cell r="F33" t="str">
            <v>M2</v>
          </cell>
        </row>
        <row r="34">
          <cell r="F34" t="str">
            <v>set</v>
          </cell>
        </row>
        <row r="35">
          <cell r="F35" t="str">
            <v>set</v>
          </cell>
        </row>
      </sheetData>
      <sheetData sheetId="5" refreshError="1"/>
      <sheetData sheetId="6" refreshError="1"/>
      <sheetData sheetId="7"/>
      <sheetData sheetId="8">
        <row r="1">
          <cell r="J1" t="str">
            <v>Analisa EI-311</v>
          </cell>
        </row>
        <row r="3">
          <cell r="A3" t="str">
            <v>FORMULIR STANDAR UNTUK</v>
          </cell>
        </row>
        <row r="4">
          <cell r="A4" t="str">
            <v>PEREKAMAN ANALISA MASING-MASING HARGA SATUAN</v>
          </cell>
        </row>
        <row r="6">
          <cell r="A6" t="str">
            <v>Nama Penawar</v>
          </cell>
          <cell r="D6" t="str">
            <v>: CV. MUTYARA ABADI</v>
          </cell>
        </row>
        <row r="7">
          <cell r="A7" t="str">
            <v>Kegiatan</v>
          </cell>
          <cell r="D7" t="str">
            <v>: Pembangunan Jalan Dinas Bina Marga dan Cipta Karya Prov. NAD</v>
          </cell>
        </row>
        <row r="8">
          <cell r="A8" t="str">
            <v>Nama Paket</v>
          </cell>
          <cell r="D8" t="str">
            <v>: Pembangunan Jalan Baru, Penggalian Parit Desa Kende Siblah &amp; Aso Nanggroe</v>
          </cell>
        </row>
        <row r="9">
          <cell r="D9" t="str">
            <v xml:space="preserve">  Kec. Blang Pidie &amp; Kec.Jeumpa, Panjang 3 Km Dengan Lebar 2,5M</v>
          </cell>
        </row>
        <row r="10">
          <cell r="A10" t="str">
            <v>Nomor Paket</v>
          </cell>
          <cell r="D10" t="str">
            <v>: Bang - 104</v>
          </cell>
        </row>
        <row r="11">
          <cell r="A11" t="str">
            <v>Tahun Anggaran</v>
          </cell>
          <cell r="D11" t="str">
            <v>: 2009</v>
          </cell>
        </row>
        <row r="12">
          <cell r="A12" t="str">
            <v>Prop / Kab / Kodya</v>
          </cell>
          <cell r="D12" t="str">
            <v>: Nanggroe Aceh Darussalam Kab. Abdya</v>
          </cell>
        </row>
        <row r="13">
          <cell r="A13" t="str">
            <v>ITEM PEMBAYARAN NO.</v>
          </cell>
          <cell r="D13" t="str">
            <v>:  3.1 (1)</v>
          </cell>
          <cell r="G13" t="str">
            <v>PERKIRAAN VOL. PEK.</v>
          </cell>
          <cell r="I13" t="str">
            <v>:</v>
          </cell>
          <cell r="J13">
            <v>40</v>
          </cell>
          <cell r="K13" t="str">
            <v>M3</v>
          </cell>
        </row>
        <row r="14">
          <cell r="A14" t="str">
            <v>JENIS PEKERJAAN</v>
          </cell>
          <cell r="D14" t="str">
            <v>:  Galian Biasa</v>
          </cell>
          <cell r="G14" t="str">
            <v>TOTAL HARGA (Rp.)</v>
          </cell>
          <cell r="I14" t="str">
            <v>:</v>
          </cell>
          <cell r="J14">
            <v>1017090.2889846629</v>
          </cell>
        </row>
        <row r="15">
          <cell r="A15" t="str">
            <v>SATUAN PEMBAYARAN</v>
          </cell>
          <cell r="D15" t="str">
            <v>:  M3</v>
          </cell>
          <cell r="G15" t="str">
            <v>% THD. BIAYA PROYEK</v>
          </cell>
          <cell r="I15" t="str">
            <v>:</v>
          </cell>
          <cell r="J15" t="e">
            <v>#REF!</v>
          </cell>
          <cell r="K15" t="str">
            <v>%</v>
          </cell>
        </row>
        <row r="18">
          <cell r="F18" t="str">
            <v>PERKIRAAN</v>
          </cell>
          <cell r="G18" t="str">
            <v>HARGA</v>
          </cell>
          <cell r="H18" t="str">
            <v>JUMLAH</v>
          </cell>
        </row>
        <row r="19">
          <cell r="A19" t="str">
            <v>NO.</v>
          </cell>
          <cell r="C19" t="str">
            <v>KOMPONEN</v>
          </cell>
          <cell r="E19" t="str">
            <v>SATUAN</v>
          </cell>
          <cell r="F19" t="str">
            <v>KUANTITAS</v>
          </cell>
          <cell r="G19" t="str">
            <v>SATUAN</v>
          </cell>
          <cell r="H19" t="str">
            <v>HARGA</v>
          </cell>
        </row>
        <row r="20">
          <cell r="G20" t="str">
            <v>(Rp.)</v>
          </cell>
          <cell r="H20" t="str">
            <v>(Rp.)</v>
          </cell>
        </row>
        <row r="23">
          <cell r="A23" t="str">
            <v>A.</v>
          </cell>
          <cell r="C23" t="str">
            <v>TENAGA</v>
          </cell>
        </row>
        <row r="25">
          <cell r="A25" t="str">
            <v>1.</v>
          </cell>
          <cell r="C25" t="str">
            <v>Pekerja</v>
          </cell>
          <cell r="D25" t="str">
            <v>(L01)</v>
          </cell>
          <cell r="E25" t="str">
            <v>Jam</v>
          </cell>
          <cell r="F25">
            <v>0.22401072384137174</v>
          </cell>
          <cell r="G25">
            <v>7142.8571428571431</v>
          </cell>
          <cell r="J25">
            <v>1600.0765988669411</v>
          </cell>
        </row>
        <row r="26">
          <cell r="A26" t="str">
            <v>2.</v>
          </cell>
          <cell r="C26" t="str">
            <v>Mandor</v>
          </cell>
          <cell r="D26" t="str">
            <v>(L03)</v>
          </cell>
          <cell r="E26" t="str">
            <v>Jam</v>
          </cell>
          <cell r="F26">
            <v>4.4802144768274349E-2</v>
          </cell>
          <cell r="G26">
            <v>8571.4285714285706</v>
          </cell>
          <cell r="J26">
            <v>384.01838372806583</v>
          </cell>
        </row>
        <row r="29">
          <cell r="F29" t="str">
            <v xml:space="preserve">JUMLAH HARGA TENAGA   </v>
          </cell>
          <cell r="J29">
            <v>1984.094982595007</v>
          </cell>
        </row>
        <row r="31">
          <cell r="A31" t="str">
            <v>B.</v>
          </cell>
          <cell r="C31" t="str">
            <v>BAHAN</v>
          </cell>
        </row>
        <row r="37">
          <cell r="F37" t="str">
            <v xml:space="preserve">JUMLAH HARGA BAHAN   </v>
          </cell>
        </row>
        <row r="40">
          <cell r="A40" t="str">
            <v>C.</v>
          </cell>
          <cell r="C40" t="str">
            <v>PERALATAN</v>
          </cell>
        </row>
        <row r="42">
          <cell r="A42" t="str">
            <v>1.</v>
          </cell>
          <cell r="C42" t="str">
            <v>Excavator</v>
          </cell>
          <cell r="D42" t="str">
            <v>(E10)</v>
          </cell>
          <cell r="E42" t="str">
            <v>Jam</v>
          </cell>
          <cell r="F42">
            <v>4.4802144768274349E-2</v>
          </cell>
          <cell r="G42">
            <v>200588.91089473845</v>
          </cell>
          <cell r="J42">
            <v>8986.8134248165552</v>
          </cell>
        </row>
        <row r="43">
          <cell r="A43" t="str">
            <v>2.</v>
          </cell>
          <cell r="C43" t="str">
            <v>Dump Truck</v>
          </cell>
          <cell r="D43" t="str">
            <v>(E08)</v>
          </cell>
          <cell r="E43" t="str">
            <v>Jam</v>
          </cell>
          <cell r="F43">
            <v>9.6316514478638982E-2</v>
          </cell>
          <cell r="G43">
            <v>123496.7860183678</v>
          </cell>
          <cell r="J43">
            <v>11894.779978603503</v>
          </cell>
        </row>
        <row r="44">
          <cell r="A44" t="str">
            <v>3.</v>
          </cell>
          <cell r="C44" t="str">
            <v>Alat Bantu</v>
          </cell>
          <cell r="E44" t="str">
            <v>Ls</v>
          </cell>
          <cell r="F44">
            <v>1</v>
          </cell>
          <cell r="G44">
            <v>250</v>
          </cell>
          <cell r="J44">
            <v>250</v>
          </cell>
        </row>
        <row r="49">
          <cell r="F49" t="str">
            <v xml:space="preserve">JUMLAH HARGA PERALATAN   </v>
          </cell>
          <cell r="J49">
            <v>21131.593403420058</v>
          </cell>
        </row>
        <row r="51">
          <cell r="A51" t="str">
            <v>D.</v>
          </cell>
          <cell r="C51" t="str">
            <v>JUMLAH HARGA TENAGA, BAHAN DAN PERALATAN  ( A + B + C )</v>
          </cell>
          <cell r="J51">
            <v>23115.688386015066</v>
          </cell>
        </row>
        <row r="52">
          <cell r="A52" t="str">
            <v>E.</v>
          </cell>
          <cell r="C52" t="str">
            <v>OVERHEAD &amp; PROFIT</v>
          </cell>
          <cell r="E52">
            <v>10</v>
          </cell>
          <cell r="F52" t="str">
            <v>%  x  D</v>
          </cell>
          <cell r="J52">
            <v>2311.5688386015067</v>
          </cell>
        </row>
        <row r="53">
          <cell r="A53" t="str">
            <v>F.</v>
          </cell>
          <cell r="C53" t="str">
            <v>HARGA SATUAN PEKERJAAN  ( D + E ) DIBULATKAN</v>
          </cell>
          <cell r="J53">
            <v>25427.257224616573</v>
          </cell>
        </row>
        <row r="54">
          <cell r="A54" t="str">
            <v>Note: 1</v>
          </cell>
          <cell r="C54" t="str">
            <v>SATUAN dapat berdasarkan atas jam operasi untuk Tenaga Kerja dan Peralatan, volume dan/atau ukuran</v>
          </cell>
        </row>
        <row r="55">
          <cell r="C55" t="str">
            <v>berat untuk bahan-bahan.</v>
          </cell>
        </row>
        <row r="56">
          <cell r="A56">
            <v>2</v>
          </cell>
          <cell r="C56" t="str">
            <v>Kuantitas satuan adalah kuantitas setiap komponen untuk menyelesaikan satu satuan pekerjaan dari nomor</v>
          </cell>
        </row>
        <row r="57">
          <cell r="C57" t="str">
            <v>mata pembayaran.</v>
          </cell>
        </row>
        <row r="58">
          <cell r="A58">
            <v>3</v>
          </cell>
          <cell r="C58" t="str">
            <v>Biaya satuan untuk peralatan sudah termasuk bahan bakar, bahan habis dipakai dan operator.</v>
          </cell>
        </row>
        <row r="59">
          <cell r="A59">
            <v>4</v>
          </cell>
          <cell r="C59" t="str">
            <v>Biaya satuan sudah termasuk pengeluaran untuk seluruh pajak yang berkaitan (tetapi tidak termasuk PPN</v>
          </cell>
        </row>
        <row r="60">
          <cell r="C60" t="str">
            <v>yang dibayar dari kontrak) dan biaya-biaya lainnya.</v>
          </cell>
        </row>
        <row r="72">
          <cell r="J72" t="str">
            <v>Analisa EI-322</v>
          </cell>
        </row>
        <row r="74">
          <cell r="A74" t="str">
            <v>FORMULIR STANDAR UNTUK</v>
          </cell>
        </row>
        <row r="75">
          <cell r="A75" t="str">
            <v>PEREKAMAN ANALISA MASING-MASING HARGA SATUAN</v>
          </cell>
        </row>
        <row r="77">
          <cell r="A77" t="str">
            <v>Nama Penawar</v>
          </cell>
          <cell r="D77" t="str">
            <v>: CV. MUTYARA ABADI</v>
          </cell>
        </row>
        <row r="78">
          <cell r="A78" t="str">
            <v>Kegiatan</v>
          </cell>
          <cell r="D78" t="str">
            <v>: Pembangunan Jalan Dinas Bina Marga dan Cipta Karya Prov. NAD</v>
          </cell>
        </row>
        <row r="79">
          <cell r="A79" t="str">
            <v>Nama Paket</v>
          </cell>
          <cell r="D79" t="str">
            <v>: Pembangunan Jalan Baru, Penggalian Parit Desa Kende Siblah &amp; Aso Nanggroe</v>
          </cell>
        </row>
        <row r="80">
          <cell r="D80" t="str">
            <v xml:space="preserve">  Kec. Blang Pidie &amp; Kec.Jeumpa, Panjang 3 Km Dengan Lebar 2,5M</v>
          </cell>
        </row>
        <row r="81">
          <cell r="A81" t="str">
            <v>Nomor Paket</v>
          </cell>
          <cell r="D81" t="str">
            <v>: Bang - 104</v>
          </cell>
        </row>
        <row r="82">
          <cell r="A82" t="str">
            <v>Tahun Anggaran</v>
          </cell>
          <cell r="D82" t="str">
            <v>: 2009</v>
          </cell>
        </row>
        <row r="83">
          <cell r="A83" t="str">
            <v>Prop / Kab / Kodya</v>
          </cell>
          <cell r="D83" t="str">
            <v>: Nanggroe Aceh Darussalam Kab. Abdya</v>
          </cell>
        </row>
        <row r="84">
          <cell r="A84" t="str">
            <v>ITEM PEMBAYARAN NO.</v>
          </cell>
          <cell r="D84" t="str">
            <v>:  3.2 (1)</v>
          </cell>
          <cell r="G84" t="str">
            <v>PERKIRAAN VOL. PEK.</v>
          </cell>
          <cell r="I84" t="str">
            <v>:</v>
          </cell>
          <cell r="J84">
            <v>53.79</v>
          </cell>
          <cell r="K84" t="str">
            <v>M3</v>
          </cell>
        </row>
        <row r="85">
          <cell r="A85" t="str">
            <v>JENIS PEKERJAAN</v>
          </cell>
          <cell r="D85" t="str">
            <v>:  Timbunan Biasa</v>
          </cell>
          <cell r="G85" t="str">
            <v>TOTAL HARGA (Rp.)</v>
          </cell>
          <cell r="I85" t="str">
            <v>:</v>
          </cell>
          <cell r="J85" t="e">
            <v>#REF!</v>
          </cell>
        </row>
        <row r="86">
          <cell r="A86" t="str">
            <v>SATUAN PEMBAYARAN</v>
          </cell>
          <cell r="D86" t="str">
            <v>:  M3</v>
          </cell>
          <cell r="G86" t="str">
            <v>% THD. BIAYA PROYEK</v>
          </cell>
          <cell r="I86" t="str">
            <v>:</v>
          </cell>
          <cell r="J86" t="e">
            <v>#REF!</v>
          </cell>
          <cell r="K86" t="str">
            <v>%</v>
          </cell>
        </row>
        <row r="89">
          <cell r="F89" t="str">
            <v>PERKIRAAN</v>
          </cell>
          <cell r="G89" t="str">
            <v>HARGA</v>
          </cell>
          <cell r="H89" t="str">
            <v>JUMLAH</v>
          </cell>
        </row>
        <row r="90">
          <cell r="A90" t="str">
            <v>NO.</v>
          </cell>
          <cell r="C90" t="str">
            <v>KOMPONEN</v>
          </cell>
          <cell r="E90" t="str">
            <v>SATUAN</v>
          </cell>
          <cell r="F90" t="str">
            <v>KUANTITAS</v>
          </cell>
          <cell r="G90" t="str">
            <v>SATUAN</v>
          </cell>
          <cell r="H90" t="str">
            <v>HARGA</v>
          </cell>
        </row>
        <row r="91">
          <cell r="G91" t="str">
            <v>(Rp.)</v>
          </cell>
          <cell r="H91" t="str">
            <v>(Rp.)</v>
          </cell>
        </row>
        <row r="94">
          <cell r="A94" t="str">
            <v>A.</v>
          </cell>
          <cell r="C94" t="str">
            <v>TENAGA</v>
          </cell>
        </row>
        <row r="96">
          <cell r="A96" t="str">
            <v>1.</v>
          </cell>
          <cell r="C96" t="str">
            <v>Pekerja</v>
          </cell>
          <cell r="D96" t="str">
            <v>(L01)</v>
          </cell>
          <cell r="E96" t="str">
            <v>Jam</v>
          </cell>
          <cell r="F96">
            <v>0.15432098765432095</v>
          </cell>
          <cell r="G96">
            <v>7142.8571428571431</v>
          </cell>
          <cell r="J96">
            <v>1102.2927689594353</v>
          </cell>
        </row>
        <row r="97">
          <cell r="A97" t="str">
            <v>2.</v>
          </cell>
          <cell r="C97" t="str">
            <v>Mandor</v>
          </cell>
          <cell r="D97">
            <v>0</v>
          </cell>
          <cell r="E97" t="str">
            <v>Jam</v>
          </cell>
          <cell r="F97">
            <v>7.7160493827160481E-3</v>
          </cell>
          <cell r="G97">
            <v>8571.4285714285706</v>
          </cell>
          <cell r="J97">
            <v>66.137566137566125</v>
          </cell>
        </row>
        <row r="100">
          <cell r="F100" t="str">
            <v xml:space="preserve">JUMLAH HARGA TENAGA   </v>
          </cell>
          <cell r="J100">
            <v>1168.4303350970015</v>
          </cell>
        </row>
        <row r="102">
          <cell r="A102" t="str">
            <v>B.</v>
          </cell>
          <cell r="C102" t="str">
            <v>BAHAN</v>
          </cell>
        </row>
        <row r="104">
          <cell r="A104" t="str">
            <v>1.</v>
          </cell>
          <cell r="C104" t="str">
            <v>Bahan timbunan (M08)</v>
          </cell>
          <cell r="E104" t="str">
            <v>M3</v>
          </cell>
          <cell r="F104">
            <v>1.2</v>
          </cell>
          <cell r="G104" t="e">
            <v>#REF!</v>
          </cell>
          <cell r="J104" t="e">
            <v>#REF!</v>
          </cell>
        </row>
        <row r="109">
          <cell r="F109" t="str">
            <v xml:space="preserve">JUMLAH HARGA BAHAN   </v>
          </cell>
          <cell r="J109" t="e">
            <v>#REF!</v>
          </cell>
        </row>
        <row r="111">
          <cell r="A111" t="str">
            <v>C.</v>
          </cell>
          <cell r="C111" t="str">
            <v>PERALATAN</v>
          </cell>
        </row>
        <row r="112">
          <cell r="A112">
            <v>1</v>
          </cell>
          <cell r="C112" t="str">
            <v>Whell  Loader</v>
          </cell>
          <cell r="D112" t="str">
            <v>(E15)</v>
          </cell>
          <cell r="E112" t="str">
            <v>Jam</v>
          </cell>
          <cell r="F112">
            <v>1.5432098765432096E-2</v>
          </cell>
          <cell r="G112">
            <v>205884.19276960409</v>
          </cell>
          <cell r="J112">
            <v>3177.2251970617913</v>
          </cell>
        </row>
        <row r="113">
          <cell r="A113">
            <v>2</v>
          </cell>
          <cell r="C113" t="str">
            <v>Dump Truck</v>
          </cell>
          <cell r="D113" t="str">
            <v>(E08)</v>
          </cell>
          <cell r="E113" t="str">
            <v>Jam</v>
          </cell>
          <cell r="F113">
            <v>6.0930916884853109E-2</v>
          </cell>
          <cell r="G113">
            <v>123496.7860183678</v>
          </cell>
          <cell r="J113">
            <v>7524.7724044316583</v>
          </cell>
        </row>
        <row r="114">
          <cell r="A114">
            <v>3</v>
          </cell>
          <cell r="C114" t="str">
            <v>Motor Grader</v>
          </cell>
          <cell r="D114" t="str">
            <v>(E13)</v>
          </cell>
          <cell r="E114" t="str">
            <v>Jam</v>
          </cell>
          <cell r="F114">
            <v>7.7736318407960192E-3</v>
          </cell>
          <cell r="G114">
            <v>212339.47464446968</v>
          </cell>
          <cell r="J114">
            <v>1650.6489011541485</v>
          </cell>
        </row>
        <row r="115">
          <cell r="A115">
            <v>4</v>
          </cell>
          <cell r="C115" t="str">
            <v>Vibro Roller</v>
          </cell>
          <cell r="D115" t="str">
            <v>(E19)</v>
          </cell>
          <cell r="E115" t="str">
            <v>Jam</v>
          </cell>
          <cell r="F115">
            <v>1.2437810945273631E-2</v>
          </cell>
          <cell r="G115">
            <v>148062.64992974239</v>
          </cell>
          <cell r="J115">
            <v>1841.5752478823679</v>
          </cell>
        </row>
        <row r="116">
          <cell r="A116">
            <v>5</v>
          </cell>
          <cell r="C116" t="str">
            <v>Water Tanker</v>
          </cell>
          <cell r="D116" t="str">
            <v>(E23)</v>
          </cell>
          <cell r="E116" t="str">
            <v>Jam</v>
          </cell>
          <cell r="F116">
            <v>1.1904761904761904E-2</v>
          </cell>
          <cell r="G116">
            <v>101747.7129932119</v>
          </cell>
          <cell r="J116">
            <v>1211.2822975382369</v>
          </cell>
        </row>
        <row r="117">
          <cell r="A117">
            <v>6</v>
          </cell>
          <cell r="C117" t="str">
            <v>Alat  Bantu</v>
          </cell>
          <cell r="E117" t="str">
            <v>Ls</v>
          </cell>
          <cell r="F117">
            <v>1</v>
          </cell>
          <cell r="G117">
            <v>250</v>
          </cell>
          <cell r="J117">
            <v>250</v>
          </cell>
        </row>
        <row r="120">
          <cell r="F120" t="str">
            <v xml:space="preserve">JUMLAH HARGA PERALATAN   </v>
          </cell>
          <cell r="J120">
            <v>15655.504048068204</v>
          </cell>
        </row>
        <row r="122">
          <cell r="A122" t="str">
            <v>D.</v>
          </cell>
          <cell r="C122" t="str">
            <v>JUMLAH HARGA TENAGA, BAHAN DAN PERALATAN  ( A + B + C )</v>
          </cell>
          <cell r="J122" t="e">
            <v>#REF!</v>
          </cell>
        </row>
        <row r="123">
          <cell r="A123" t="str">
            <v>E.</v>
          </cell>
          <cell r="C123" t="str">
            <v>OVERHEAD &amp; PROFIT</v>
          </cell>
          <cell r="E123">
            <v>10</v>
          </cell>
          <cell r="F123" t="str">
            <v>%  x  D</v>
          </cell>
          <cell r="J123" t="e">
            <v>#REF!</v>
          </cell>
        </row>
        <row r="124">
          <cell r="A124" t="str">
            <v>F.</v>
          </cell>
          <cell r="C124" t="str">
            <v>HARGA SATUAN PEKERJAAN  ( D + E ) DIBULATKAN</v>
          </cell>
          <cell r="J124" t="e">
            <v>#REF!</v>
          </cell>
        </row>
        <row r="125">
          <cell r="A125" t="str">
            <v>Note: 1</v>
          </cell>
          <cell r="C125" t="str">
            <v>SATUAN dapat berdasarkan atas jam operasi untuk Tenaga Kerja dan Peralatan, volume dan/atau ukuran</v>
          </cell>
        </row>
        <row r="126">
          <cell r="C126" t="str">
            <v>berat untuk bahan-bahan.</v>
          </cell>
        </row>
        <row r="127">
          <cell r="A127">
            <v>2</v>
          </cell>
          <cell r="C127" t="str">
            <v>Kuantitas satuan adalah kuantitas setiap komponen untuk menyelesaikan satu satuan pekerjaan dari nomor</v>
          </cell>
        </row>
        <row r="128">
          <cell r="C128" t="str">
            <v>mata pembayaran.</v>
          </cell>
        </row>
        <row r="129">
          <cell r="A129">
            <v>3</v>
          </cell>
          <cell r="C129" t="str">
            <v>Biaya satuan untuk peralatan sudah termasuk bahan bakar, bahan habis dipakai dan operator.</v>
          </cell>
        </row>
        <row r="130">
          <cell r="A130">
            <v>4</v>
          </cell>
          <cell r="C130" t="str">
            <v>Biaya satuan sudah termasuk pengeluaran untuk seluruh pajak yang berkaitan (tetapi tidak termasuk PPN</v>
          </cell>
        </row>
        <row r="131">
          <cell r="C131" t="str">
            <v>yang dibayar dari kontrak) dan biaya-biaya lainnya.</v>
          </cell>
        </row>
        <row r="318">
          <cell r="I318" t="str">
            <v>Analisa EI-324</v>
          </cell>
        </row>
        <row r="320">
          <cell r="A320" t="str">
            <v>FORMULIR STANDAR UNTUK</v>
          </cell>
        </row>
        <row r="321">
          <cell r="A321" t="str">
            <v>PEREKAMAN ANALISA MASING-MASING HARGA SATUAN</v>
          </cell>
        </row>
        <row r="322">
          <cell r="A322">
            <v>0</v>
          </cell>
        </row>
        <row r="324">
          <cell r="A324" t="str">
            <v>Kegiatan</v>
          </cell>
          <cell r="D324" t="str">
            <v>: Pembangunan Jalan Dinas Bina Marga dan Cipta Karya Prov. NAD</v>
          </cell>
        </row>
        <row r="325">
          <cell r="A325" t="str">
            <v>Nama Paket</v>
          </cell>
          <cell r="D325" t="str">
            <v>: ………….………………………………..</v>
          </cell>
        </row>
        <row r="326">
          <cell r="A326" t="str">
            <v>Nomor Paket</v>
          </cell>
          <cell r="D326" t="str">
            <v>: ………….………………………………..</v>
          </cell>
        </row>
        <row r="327">
          <cell r="A327" t="str">
            <v>Tahun Anggaran</v>
          </cell>
          <cell r="D327" t="str">
            <v>: 2009</v>
          </cell>
        </row>
        <row r="328">
          <cell r="A328" t="str">
            <v>Prop / Kab / Kodya</v>
          </cell>
          <cell r="D328" t="str">
            <v>: ………….………………………………..</v>
          </cell>
        </row>
        <row r="329">
          <cell r="A329" t="str">
            <v>ITEM PEMBAYARAN NO.</v>
          </cell>
          <cell r="D329" t="str">
            <v>:  3.2 (4)</v>
          </cell>
          <cell r="G329" t="str">
            <v>PERKIRAAN VOL. PEK.</v>
          </cell>
          <cell r="I329" t="str">
            <v>:</v>
          </cell>
        </row>
        <row r="330">
          <cell r="A330" t="str">
            <v>JENIS PEKERJAAN</v>
          </cell>
          <cell r="D330" t="str">
            <v>:  Timb. Pilihan Di Atas Tnh. Rawa</v>
          </cell>
          <cell r="G330" t="str">
            <v>TOTAL HARGA (Rp.)</v>
          </cell>
          <cell r="I330" t="str">
            <v>:</v>
          </cell>
        </row>
        <row r="331">
          <cell r="A331" t="str">
            <v>SATUAN PEMBAYARAN</v>
          </cell>
          <cell r="D331" t="str">
            <v>:  M3</v>
          </cell>
          <cell r="G331" t="str">
            <v>% THD. BIAYA PROYEK</v>
          </cell>
          <cell r="I331" t="str">
            <v>:</v>
          </cell>
        </row>
        <row r="334">
          <cell r="F334" t="str">
            <v>PERKIRAAN</v>
          </cell>
          <cell r="G334" t="str">
            <v>HARGA</v>
          </cell>
          <cell r="H334" t="str">
            <v>JUMLAH</v>
          </cell>
        </row>
        <row r="335">
          <cell r="A335" t="str">
            <v>NO.</v>
          </cell>
          <cell r="C335" t="str">
            <v>KOMPONEN</v>
          </cell>
          <cell r="E335" t="str">
            <v>SATUAN</v>
          </cell>
          <cell r="F335" t="str">
            <v>KUANTITAS</v>
          </cell>
          <cell r="G335" t="str">
            <v>SATUAN</v>
          </cell>
          <cell r="H335" t="str">
            <v>HARGA</v>
          </cell>
        </row>
        <row r="336">
          <cell r="G336" t="str">
            <v>(Rp.)</v>
          </cell>
          <cell r="H336" t="str">
            <v>(Rp.)</v>
          </cell>
        </row>
        <row r="339">
          <cell r="A339" t="str">
            <v>A.</v>
          </cell>
          <cell r="C339" t="str">
            <v>TENAGA</v>
          </cell>
        </row>
        <row r="341">
          <cell r="A341" t="str">
            <v>1.</v>
          </cell>
          <cell r="C341" t="str">
            <v>Pekerja</v>
          </cell>
          <cell r="D341" t="str">
            <v>(L01)</v>
          </cell>
          <cell r="E341" t="str">
            <v>Jam</v>
          </cell>
        </row>
        <row r="342">
          <cell r="A342" t="str">
            <v>2.</v>
          </cell>
          <cell r="C342" t="str">
            <v>Mandor</v>
          </cell>
          <cell r="D342" t="str">
            <v>(L02)</v>
          </cell>
          <cell r="E342" t="str">
            <v>Jam</v>
          </cell>
        </row>
        <row r="345">
          <cell r="F345" t="str">
            <v xml:space="preserve">JUMLAH HARGA TENAGA   </v>
          </cell>
        </row>
        <row r="347">
          <cell r="A347" t="str">
            <v>B.</v>
          </cell>
          <cell r="C347" t="str">
            <v>BAHAN</v>
          </cell>
        </row>
        <row r="349">
          <cell r="A349" t="str">
            <v>1.</v>
          </cell>
          <cell r="C349" t="str">
            <v>Bahan pilihan   (M09)</v>
          </cell>
          <cell r="D349" t="str">
            <v>(M09)</v>
          </cell>
          <cell r="E349" t="str">
            <v>M3</v>
          </cell>
          <cell r="F349">
            <v>1</v>
          </cell>
        </row>
        <row r="356">
          <cell r="F356" t="str">
            <v xml:space="preserve">JUMLAH HARGA BAHAN   </v>
          </cell>
        </row>
        <row r="358">
          <cell r="A358" t="str">
            <v>C.</v>
          </cell>
          <cell r="C358" t="str">
            <v>PERALATAN</v>
          </cell>
        </row>
        <row r="359">
          <cell r="A359" t="str">
            <v>1.</v>
          </cell>
          <cell r="C359" t="str">
            <v>Dump Truck</v>
          </cell>
          <cell r="D359" t="str">
            <v>(E08)</v>
          </cell>
          <cell r="E359" t="str">
            <v>Jam</v>
          </cell>
        </row>
        <row r="360">
          <cell r="A360" t="str">
            <v>2.</v>
          </cell>
          <cell r="C360" t="str">
            <v>Whell  Loader</v>
          </cell>
          <cell r="D360" t="str">
            <v>(E15)</v>
          </cell>
          <cell r="E360" t="str">
            <v>Jam</v>
          </cell>
        </row>
        <row r="361">
          <cell r="A361" t="str">
            <v>3.</v>
          </cell>
          <cell r="C361" t="str">
            <v>Alat  Bantu</v>
          </cell>
          <cell r="E361" t="str">
            <v>Ls</v>
          </cell>
        </row>
        <row r="367">
          <cell r="F367" t="str">
            <v xml:space="preserve">JUMLAH HARGA PERALATAN   </v>
          </cell>
        </row>
        <row r="369">
          <cell r="A369" t="str">
            <v>D.</v>
          </cell>
          <cell r="C369" t="str">
            <v>JUMLAH HARGA TENAGA, BAHAN DAN PERALATAN  ( A + B + C )</v>
          </cell>
        </row>
        <row r="370">
          <cell r="A370" t="str">
            <v>E.</v>
          </cell>
          <cell r="C370" t="str">
            <v>OVERHEAD &amp; PROFIT</v>
          </cell>
          <cell r="E370">
            <v>10</v>
          </cell>
          <cell r="F370" t="str">
            <v>%  x  D</v>
          </cell>
        </row>
        <row r="371">
          <cell r="A371" t="str">
            <v>F.</v>
          </cell>
          <cell r="C371" t="str">
            <v>HARGA SATUAN PEKERJAAN  ( D + E ) DIBULATKAN</v>
          </cell>
        </row>
        <row r="372">
          <cell r="A372" t="str">
            <v>Note: 1</v>
          </cell>
          <cell r="C372" t="str">
            <v>SATUAN dapat berdasarkan atas jam operasi untuk Tenaga Kerja dan Peralatan, volume dan/atau ukuran</v>
          </cell>
        </row>
        <row r="373">
          <cell r="C373" t="str">
            <v>berat untuk bahan-bahan.</v>
          </cell>
        </row>
        <row r="374">
          <cell r="A374">
            <v>2</v>
          </cell>
          <cell r="C374" t="str">
            <v>Kuantitas satuan adalah kuantitas setiap komponen untuk menyelesaikan satu satuan pekerjaan dari nomor</v>
          </cell>
        </row>
        <row r="375">
          <cell r="C375" t="str">
            <v>mata pembayaran.</v>
          </cell>
        </row>
        <row r="376">
          <cell r="A376">
            <v>3</v>
          </cell>
          <cell r="C376" t="str">
            <v>Biaya satuan untuk peralatan sudah termasuk bahan bakar, bahan habis dipakai dan operator.</v>
          </cell>
        </row>
        <row r="377">
          <cell r="A377">
            <v>4</v>
          </cell>
          <cell r="C377" t="str">
            <v>Biaya satuan sudah termasuk pengeluaran untuk seluruh pajak yang berkaitan (tetapi tidak termasuk PPN</v>
          </cell>
        </row>
        <row r="378">
          <cell r="C378" t="str">
            <v>yang dibayar dari kontrak) dan biaya-biaya lainnya.</v>
          </cell>
        </row>
        <row r="440">
          <cell r="I440" t="str">
            <v>Analisa EI-331</v>
          </cell>
        </row>
        <row r="442">
          <cell r="A442" t="str">
            <v>FORMULIR STANDAR UNTUK</v>
          </cell>
        </row>
        <row r="443">
          <cell r="A443" t="str">
            <v>PEREKAMAN ANALISA MASING-MASING HARGA SATUAN</v>
          </cell>
        </row>
        <row r="444">
          <cell r="A444">
            <v>0</v>
          </cell>
        </row>
        <row r="446">
          <cell r="A446" t="str">
            <v>Kegiatan</v>
          </cell>
          <cell r="D446" t="str">
            <v>: Pembangunan Jalan Dinas Bina Marga dan Cipta Karya Prov. NAD</v>
          </cell>
        </row>
        <row r="447">
          <cell r="A447" t="str">
            <v>Nama Paket</v>
          </cell>
          <cell r="D447" t="str">
            <v>: ………….………………………………..</v>
          </cell>
        </row>
        <row r="448">
          <cell r="A448" t="str">
            <v>Nomor Paket</v>
          </cell>
          <cell r="D448" t="str">
            <v>: ………….………………………………..</v>
          </cell>
        </row>
        <row r="449">
          <cell r="A449" t="str">
            <v>Tahun Anggaran</v>
          </cell>
          <cell r="D449" t="str">
            <v>: 2009</v>
          </cell>
        </row>
        <row r="450">
          <cell r="A450" t="str">
            <v>Prop / Kab / Kodya</v>
          </cell>
          <cell r="D450" t="str">
            <v>: ………….………………………………..</v>
          </cell>
        </row>
        <row r="451">
          <cell r="A451" t="str">
            <v>ITEM PEMBAYARAN NO.</v>
          </cell>
          <cell r="D451" t="str">
            <v>:  3.3</v>
          </cell>
          <cell r="G451" t="str">
            <v>PERKIRAAN VOL. PEK.</v>
          </cell>
          <cell r="I451" t="str">
            <v>:</v>
          </cell>
        </row>
        <row r="452">
          <cell r="A452" t="str">
            <v>JENIS PEKERJAAN</v>
          </cell>
          <cell r="D452" t="str">
            <v xml:space="preserve">:  Penyiapan Badan Jalan </v>
          </cell>
          <cell r="G452" t="str">
            <v>TOTAL HARGA (Rp.)</v>
          </cell>
          <cell r="I452" t="str">
            <v>:</v>
          </cell>
        </row>
        <row r="453">
          <cell r="A453" t="str">
            <v>SATUAN PEMBAYARAN</v>
          </cell>
          <cell r="D453" t="str">
            <v>:  M2</v>
          </cell>
          <cell r="G453" t="str">
            <v>% THD. BIAYA PROYEK</v>
          </cell>
          <cell r="I453" t="str">
            <v>:</v>
          </cell>
        </row>
        <row r="456">
          <cell r="F456" t="str">
            <v>PERKIRAAN</v>
          </cell>
          <cell r="G456" t="str">
            <v>HARGA</v>
          </cell>
          <cell r="H456" t="str">
            <v>JUMLAH</v>
          </cell>
        </row>
        <row r="457">
          <cell r="A457" t="str">
            <v>NO.</v>
          </cell>
          <cell r="C457" t="str">
            <v>KOMPONEN</v>
          </cell>
          <cell r="E457" t="str">
            <v>SATUAN</v>
          </cell>
          <cell r="F457" t="str">
            <v>KUANTITAS</v>
          </cell>
          <cell r="G457" t="str">
            <v>SATUAN</v>
          </cell>
          <cell r="H457" t="str">
            <v>HARGA</v>
          </cell>
        </row>
        <row r="458">
          <cell r="G458" t="str">
            <v>(Rp.)</v>
          </cell>
          <cell r="H458" t="str">
            <v>(Rp.)</v>
          </cell>
        </row>
        <row r="461">
          <cell r="A461" t="str">
            <v>A.</v>
          </cell>
          <cell r="C461" t="str">
            <v>TENAGA</v>
          </cell>
        </row>
        <row r="463">
          <cell r="A463" t="str">
            <v>1.</v>
          </cell>
          <cell r="C463" t="str">
            <v>Pekerja</v>
          </cell>
          <cell r="D463" t="str">
            <v>(L01)</v>
          </cell>
          <cell r="E463" t="str">
            <v>jam</v>
          </cell>
          <cell r="F463">
            <v>3.2390132669983408E-3</v>
          </cell>
          <cell r="G463">
            <v>7142.8571428571431</v>
          </cell>
          <cell r="J463">
            <v>23.135809049988151</v>
          </cell>
        </row>
        <row r="464">
          <cell r="A464" t="str">
            <v>2.</v>
          </cell>
          <cell r="C464" t="str">
            <v>Mandor</v>
          </cell>
          <cell r="D464" t="str">
            <v>(L02)</v>
          </cell>
          <cell r="E464" t="str">
            <v>jam</v>
          </cell>
          <cell r="F464" t="e">
            <v>#REF!</v>
          </cell>
          <cell r="G464">
            <v>8571.4285714285706</v>
          </cell>
          <cell r="J464" t="e">
            <v>#REF!</v>
          </cell>
        </row>
        <row r="467">
          <cell r="F467" t="str">
            <v xml:space="preserve">JUMLAH HARGA TENAGA   </v>
          </cell>
        </row>
        <row r="469">
          <cell r="A469" t="str">
            <v>B.</v>
          </cell>
          <cell r="C469" t="str">
            <v>BAHAN</v>
          </cell>
        </row>
        <row r="477">
          <cell r="F477" t="str">
            <v xml:space="preserve">JUMLAH HARGA BAHAN   </v>
          </cell>
        </row>
        <row r="479">
          <cell r="A479" t="str">
            <v>C.</v>
          </cell>
          <cell r="C479" t="str">
            <v>PERALATAN</v>
          </cell>
        </row>
        <row r="480">
          <cell r="A480" t="str">
            <v>1.</v>
          </cell>
          <cell r="C480" t="str">
            <v>Motor Grader</v>
          </cell>
          <cell r="D480" t="str">
            <v>(E13)</v>
          </cell>
          <cell r="E480" t="str">
            <v>jam</v>
          </cell>
          <cell r="F480">
            <v>1.2437810945273631E-2</v>
          </cell>
          <cell r="G480">
            <v>212339.47464446968</v>
          </cell>
          <cell r="J480">
            <v>2641.0382418466374</v>
          </cell>
        </row>
        <row r="481">
          <cell r="A481" t="str">
            <v>2.</v>
          </cell>
          <cell r="C481" t="str">
            <v>Vibro Roller</v>
          </cell>
          <cell r="D481" t="str">
            <v>(E19)</v>
          </cell>
          <cell r="E481" t="str">
            <v>jam</v>
          </cell>
          <cell r="F481">
            <v>1.1904761904761904E-2</v>
          </cell>
          <cell r="G481">
            <v>148062.64992974239</v>
          </cell>
          <cell r="J481">
            <v>1762.6505944016949</v>
          </cell>
        </row>
        <row r="482">
          <cell r="A482" t="str">
            <v>3.</v>
          </cell>
          <cell r="C482" t="str">
            <v>Water Tanker</v>
          </cell>
          <cell r="D482" t="str">
            <v>(E23)</v>
          </cell>
          <cell r="E482" t="str">
            <v>jam</v>
          </cell>
          <cell r="F482">
            <v>0</v>
          </cell>
          <cell r="G482">
            <v>101747.7129932119</v>
          </cell>
          <cell r="J482">
            <v>0</v>
          </cell>
        </row>
        <row r="483">
          <cell r="A483" t="str">
            <v>4.</v>
          </cell>
          <cell r="C483" t="str">
            <v>Alat  Bantu</v>
          </cell>
          <cell r="E483" t="str">
            <v>Ls</v>
          </cell>
          <cell r="F483">
            <v>1</v>
          </cell>
          <cell r="G483">
            <v>250</v>
          </cell>
          <cell r="J483">
            <v>250</v>
          </cell>
        </row>
        <row r="489">
          <cell r="F489" t="str">
            <v xml:space="preserve">JUMLAH HARGA PERALATAN   </v>
          </cell>
        </row>
        <row r="491">
          <cell r="A491" t="str">
            <v>D.</v>
          </cell>
          <cell r="C491" t="str">
            <v>JUMLAH HARGA TENAGA, BAHAN DAN PERALATAN  ( A + B + C )</v>
          </cell>
        </row>
        <row r="492">
          <cell r="A492" t="str">
            <v>E.</v>
          </cell>
          <cell r="C492" t="str">
            <v>OVERHEAD &amp; PROFIT</v>
          </cell>
          <cell r="E492">
            <v>10</v>
          </cell>
          <cell r="F492" t="str">
            <v>%  x  D</v>
          </cell>
        </row>
        <row r="493">
          <cell r="A493" t="str">
            <v>F.</v>
          </cell>
          <cell r="C493" t="str">
            <v>HARGA SATUAN PEKERJAAN  ( D + E ) DIBULATKAN</v>
          </cell>
        </row>
        <row r="494">
          <cell r="A494" t="str">
            <v>Note: 1</v>
          </cell>
          <cell r="C494" t="str">
            <v>SATUAN dapat berdasarkan atas jam operasi untuk Tenaga Kerja dan Peralatan, volume dan/atau ukuran</v>
          </cell>
        </row>
        <row r="495">
          <cell r="C495" t="str">
            <v>berat untuk bahan-bahan.</v>
          </cell>
        </row>
        <row r="496">
          <cell r="A496">
            <v>2</v>
          </cell>
          <cell r="C496" t="str">
            <v>Kuantitas satuan adalah kuantitas setiap komponen untuk menyelesaikan satu satuan pekerjaan dari nomor</v>
          </cell>
        </row>
        <row r="497">
          <cell r="C497" t="str">
            <v>mata pembayaran.</v>
          </cell>
        </row>
        <row r="498">
          <cell r="A498">
            <v>3</v>
          </cell>
          <cell r="C498" t="str">
            <v>Biaya satuan untuk peralatan sudah termasuk bahan bakar, bahan habis dipakai dan operator.</v>
          </cell>
        </row>
        <row r="499">
          <cell r="A499">
            <v>4</v>
          </cell>
          <cell r="C499" t="str">
            <v>Biaya satuan sudah termasuk pengeluaran untuk seluruh pajak yang berkaitan (tetapi tidak termasuk PPN</v>
          </cell>
        </row>
        <row r="500">
          <cell r="C500" t="str">
            <v>yang dibayar dari kontrak) dan biaya-biaya lainnya.</v>
          </cell>
        </row>
        <row r="560">
          <cell r="I560" t="str">
            <v>Analisa LI-346</v>
          </cell>
        </row>
        <row r="562">
          <cell r="A562" t="str">
            <v>FORMULIR STANDAR UNTUK</v>
          </cell>
        </row>
        <row r="563">
          <cell r="A563" t="str">
            <v>PEREKAMAN ANALISA MASING-MASING HARGA SATUAN</v>
          </cell>
        </row>
        <row r="564">
          <cell r="A564">
            <v>0</v>
          </cell>
        </row>
        <row r="566">
          <cell r="A566" t="str">
            <v>Kegiatan</v>
          </cell>
          <cell r="D566" t="str">
            <v>: Pembangunan Jalan Dinas Bina Marga dan Cipta Karya Prov. NAD</v>
          </cell>
        </row>
        <row r="567">
          <cell r="A567" t="str">
            <v>Nama Paket</v>
          </cell>
          <cell r="D567" t="str">
            <v>: ………….………………………………..</v>
          </cell>
        </row>
        <row r="568">
          <cell r="A568" t="str">
            <v>Nomor Paket</v>
          </cell>
          <cell r="D568" t="str">
            <v>: ………….………………………………..</v>
          </cell>
        </row>
        <row r="569">
          <cell r="A569" t="str">
            <v>Tahun Anggaran</v>
          </cell>
          <cell r="D569" t="str">
            <v>: 2009</v>
          </cell>
        </row>
        <row r="570">
          <cell r="A570" t="str">
            <v>Prop / Kab / Kodya</v>
          </cell>
          <cell r="D570" t="str">
            <v>: ………….………………………………..</v>
          </cell>
        </row>
        <row r="571">
          <cell r="A571" t="str">
            <v>ITEM PEMBAYARAN NO.</v>
          </cell>
          <cell r="D571" t="str">
            <v>:  3.4 (6)</v>
          </cell>
          <cell r="G571" t="str">
            <v>PERKIRAAN VOL. PEK.</v>
          </cell>
          <cell r="I571" t="str">
            <v>:</v>
          </cell>
        </row>
        <row r="572">
          <cell r="A572" t="str">
            <v>JENIS PEKERJAAN</v>
          </cell>
          <cell r="D572" t="str">
            <v>:  Stabilisasi Lereng Dgn Gebalan</v>
          </cell>
          <cell r="G572" t="str">
            <v>TOTAL HARGA (Rp.)</v>
          </cell>
          <cell r="I572" t="str">
            <v>:</v>
          </cell>
        </row>
        <row r="573">
          <cell r="A573" t="str">
            <v>SATUAN PEMBAYARAN</v>
          </cell>
          <cell r="D573" t="str">
            <v>:  M2</v>
          </cell>
          <cell r="F573" t="str">
            <v>Rumput</v>
          </cell>
          <cell r="G573" t="str">
            <v>% THD. BIAYA PROYEK</v>
          </cell>
          <cell r="I573" t="str">
            <v>:</v>
          </cell>
        </row>
        <row r="576">
          <cell r="F576" t="str">
            <v>PERKIRAAN</v>
          </cell>
          <cell r="G576" t="str">
            <v>HARGA</v>
          </cell>
          <cell r="H576" t="str">
            <v>JUMLAH</v>
          </cell>
        </row>
        <row r="577">
          <cell r="A577" t="str">
            <v>NO.</v>
          </cell>
          <cell r="C577" t="str">
            <v>KOMPONEN</v>
          </cell>
          <cell r="E577" t="str">
            <v>SATUAN</v>
          </cell>
          <cell r="F577" t="str">
            <v>KUANTITAS</v>
          </cell>
          <cell r="G577" t="str">
            <v>SATUAN</v>
          </cell>
          <cell r="H577" t="str">
            <v>HARGA</v>
          </cell>
        </row>
        <row r="578">
          <cell r="G578" t="str">
            <v>(Rp.)</v>
          </cell>
          <cell r="H578" t="str">
            <v>(Rp.)</v>
          </cell>
        </row>
        <row r="581">
          <cell r="A581" t="str">
            <v>A.</v>
          </cell>
          <cell r="C581" t="str">
            <v>TENAGA</v>
          </cell>
        </row>
        <row r="583">
          <cell r="A583" t="str">
            <v>1.</v>
          </cell>
          <cell r="C583" t="str">
            <v>Pekerja Biasa</v>
          </cell>
          <cell r="D583" t="str">
            <v>(L01)</v>
          </cell>
          <cell r="E583" t="str">
            <v>jam</v>
          </cell>
        </row>
        <row r="584">
          <cell r="A584" t="str">
            <v>2.</v>
          </cell>
          <cell r="C584" t="str">
            <v>Tukang</v>
          </cell>
          <cell r="D584" t="str">
            <v>(L02)</v>
          </cell>
          <cell r="E584" t="str">
            <v>jam</v>
          </cell>
        </row>
        <row r="585">
          <cell r="A585" t="str">
            <v>3.</v>
          </cell>
          <cell r="C585" t="str">
            <v>Mandor</v>
          </cell>
          <cell r="D585" t="str">
            <v>(L03)</v>
          </cell>
          <cell r="E585" t="str">
            <v>jam</v>
          </cell>
        </row>
        <row r="587">
          <cell r="F587" t="str">
            <v xml:space="preserve">JUMLAH HARGA TENAGA   </v>
          </cell>
        </row>
        <row r="589">
          <cell r="A589" t="str">
            <v>B.</v>
          </cell>
          <cell r="C589" t="str">
            <v>BAHAN</v>
          </cell>
        </row>
        <row r="591">
          <cell r="A591" t="str">
            <v>1.</v>
          </cell>
          <cell r="C591" t="str">
            <v>Gebalan Rumput   (M32)</v>
          </cell>
          <cell r="E591" t="str">
            <v>M2</v>
          </cell>
          <cell r="F591">
            <v>1.1000000000000001</v>
          </cell>
        </row>
        <row r="597">
          <cell r="F597" t="str">
            <v xml:space="preserve">JUMLAH HARGA BAHAN   </v>
          </cell>
        </row>
        <row r="599">
          <cell r="A599" t="str">
            <v>C.</v>
          </cell>
          <cell r="C599" t="str">
            <v>PERALATAN</v>
          </cell>
        </row>
        <row r="601">
          <cell r="A601" t="str">
            <v>1.</v>
          </cell>
          <cell r="C601" t="str">
            <v>Alat Bantu</v>
          </cell>
          <cell r="E601" t="str">
            <v>Ls</v>
          </cell>
        </row>
        <row r="609">
          <cell r="F609" t="str">
            <v xml:space="preserve">JUMLAH HARGA PERALATAN   </v>
          </cell>
        </row>
        <row r="611">
          <cell r="A611" t="str">
            <v>D.</v>
          </cell>
          <cell r="C611" t="str">
            <v>JUMLAH HARGA TENAGA, BAHAN DAN PERALATAN  ( A + B + C )</v>
          </cell>
        </row>
        <row r="612">
          <cell r="A612" t="str">
            <v>E.</v>
          </cell>
          <cell r="C612" t="str">
            <v>OVERHEAD &amp; PROFIT</v>
          </cell>
          <cell r="E612">
            <v>10</v>
          </cell>
          <cell r="F612" t="str">
            <v>%  x  D</v>
          </cell>
        </row>
        <row r="613">
          <cell r="A613" t="str">
            <v>F.</v>
          </cell>
          <cell r="C613" t="str">
            <v>HARGA SATUAN PEKERJAAN  ( D + E ) DIBULATKAN</v>
          </cell>
        </row>
        <row r="614">
          <cell r="A614" t="str">
            <v>Note: 1</v>
          </cell>
          <cell r="C614" t="str">
            <v>SATUAN dapat berdasarkan atas jam operasi untuk Tenaga Kerja dan Peralatan, volume dan/atau ukuran</v>
          </cell>
        </row>
        <row r="615">
          <cell r="C615" t="str">
            <v>berat untuk bahan-bahan.</v>
          </cell>
        </row>
        <row r="616">
          <cell r="A616">
            <v>2</v>
          </cell>
          <cell r="C616" t="str">
            <v>Kuantitas satuan adalah kuantitas setiap komponen untuk menyelesaikan satu satuan pekerjaan dari nomor</v>
          </cell>
        </row>
        <row r="617">
          <cell r="C617" t="str">
            <v>mata pembayaran.</v>
          </cell>
        </row>
        <row r="618">
          <cell r="A618">
            <v>3</v>
          </cell>
          <cell r="C618" t="str">
            <v>Biaya satuan untuk peralatan sudah termasuk bahan bakar, bahan habis dipakai dan operator.</v>
          </cell>
        </row>
        <row r="619">
          <cell r="A619">
            <v>4</v>
          </cell>
          <cell r="C619" t="str">
            <v>Biaya satuan sudah termasuk pengeluaran untuk seluruh pajak yang berkaitan (tetapi tidak termasuk PPN</v>
          </cell>
        </row>
        <row r="620">
          <cell r="C620" t="str">
            <v>yang dibayar dari kontrak) dan biaya-biaya lainnya.</v>
          </cell>
        </row>
      </sheetData>
      <sheetData sheetId="9" refreshError="1"/>
      <sheetData sheetId="10">
        <row r="1">
          <cell r="I1" t="str">
            <v>Analisa EI-421</v>
          </cell>
        </row>
        <row r="3">
          <cell r="A3" t="str">
            <v>FORMULIR STANDAR UNTUK</v>
          </cell>
        </row>
        <row r="4">
          <cell r="A4" t="str">
            <v>PEREKAMAN ANALISA MASING-MASING HARGA SATUAN</v>
          </cell>
        </row>
        <row r="5">
          <cell r="A5">
            <v>0</v>
          </cell>
        </row>
        <row r="7">
          <cell r="A7" t="str">
            <v>Kegiatan</v>
          </cell>
          <cell r="D7" t="str">
            <v>: Pembangunan Jalan Dinas Bina Marga dan Cipta Karya Prov. NAD</v>
          </cell>
        </row>
        <row r="8">
          <cell r="A8" t="str">
            <v>Nama Paket</v>
          </cell>
          <cell r="D8" t="str">
            <v>: Pembangunan Jalan Baru, Penggalian Parit Desa Kende Siblah &amp; Aso Nanggroe</v>
          </cell>
        </row>
        <row r="9">
          <cell r="A9" t="str">
            <v>Nomor Paket</v>
          </cell>
          <cell r="D9" t="str">
            <v>: Bang - 104</v>
          </cell>
        </row>
        <row r="10">
          <cell r="A10" t="str">
            <v>Tahun Anggaran</v>
          </cell>
          <cell r="D10" t="str">
            <v>: 2009</v>
          </cell>
        </row>
        <row r="11">
          <cell r="A11" t="str">
            <v>Prop / Kab / Kodya</v>
          </cell>
          <cell r="D11" t="str">
            <v>: Nanggroe Aceh Darussalam Kab. Abdya</v>
          </cell>
        </row>
        <row r="12">
          <cell r="A12" t="str">
            <v>ITEM PEMBAYARAN NO.</v>
          </cell>
          <cell r="D12" t="str">
            <v>:  4.2 (1)</v>
          </cell>
          <cell r="G12" t="str">
            <v>PERKIRAAN VOL. PEK.</v>
          </cell>
          <cell r="I12" t="str">
            <v>:</v>
          </cell>
        </row>
        <row r="13">
          <cell r="A13" t="str">
            <v>JENIS PEKERJAAN</v>
          </cell>
          <cell r="D13" t="str">
            <v>:  Lps. Pond. Ag. Kls. A</v>
          </cell>
          <cell r="G13" t="str">
            <v>TOTAL HARGA (Rp.)</v>
          </cell>
          <cell r="I13" t="str">
            <v>:</v>
          </cell>
        </row>
        <row r="14">
          <cell r="A14" t="str">
            <v>SATUAN PEMBAYARAN</v>
          </cell>
          <cell r="D14" t="str">
            <v>:  M3</v>
          </cell>
          <cell r="G14" t="str">
            <v>% THD. BIAYA PROYEK</v>
          </cell>
          <cell r="I14" t="str">
            <v>:</v>
          </cell>
        </row>
        <row r="17">
          <cell r="F17" t="str">
            <v>PERKIRAAN</v>
          </cell>
          <cell r="G17" t="str">
            <v>HARGA</v>
          </cell>
          <cell r="H17" t="str">
            <v>JUMLAH</v>
          </cell>
        </row>
        <row r="18">
          <cell r="A18" t="str">
            <v>NO.</v>
          </cell>
          <cell r="C18" t="str">
            <v>KOMPONEN</v>
          </cell>
          <cell r="E18" t="str">
            <v>SATUAN</v>
          </cell>
          <cell r="F18" t="str">
            <v>KUANTITAS</v>
          </cell>
          <cell r="G18" t="str">
            <v>SATUAN</v>
          </cell>
          <cell r="H18" t="str">
            <v>HARGA</v>
          </cell>
        </row>
        <row r="19">
          <cell r="G19" t="str">
            <v>(Rp.)</v>
          </cell>
          <cell r="H19" t="str">
            <v>(Rp.)</v>
          </cell>
        </row>
        <row r="22">
          <cell r="A22" t="str">
            <v>A.</v>
          </cell>
          <cell r="C22" t="str">
            <v>TENAGA</v>
          </cell>
        </row>
        <row r="24">
          <cell r="A24" t="str">
            <v>1.</v>
          </cell>
          <cell r="C24" t="str">
            <v>Pekerja</v>
          </cell>
          <cell r="D24" t="str">
            <v>(L01)</v>
          </cell>
          <cell r="E24" t="str">
            <v>Jam</v>
          </cell>
        </row>
        <row r="25">
          <cell r="A25" t="str">
            <v>2.</v>
          </cell>
          <cell r="C25" t="str">
            <v>Mandor</v>
          </cell>
          <cell r="D25" t="str">
            <v>(L03)</v>
          </cell>
          <cell r="E25" t="str">
            <v>Jam</v>
          </cell>
        </row>
        <row r="28">
          <cell r="F28" t="str">
            <v xml:space="preserve">JUMLAH HARGA TENAGA   </v>
          </cell>
        </row>
        <row r="30">
          <cell r="A30" t="str">
            <v>B.</v>
          </cell>
          <cell r="C30" t="str">
            <v>BAHAN</v>
          </cell>
        </row>
        <row r="32">
          <cell r="A32" t="str">
            <v>1.</v>
          </cell>
          <cell r="C32" t="str">
            <v>Agregat Kasar     (M03)</v>
          </cell>
          <cell r="E32" t="str">
            <v>M3</v>
          </cell>
          <cell r="F32">
            <v>0.66</v>
          </cell>
        </row>
        <row r="33">
          <cell r="A33" t="str">
            <v>2.</v>
          </cell>
          <cell r="C33" t="str">
            <v>Agregat Halus     (M04)</v>
          </cell>
          <cell r="E33" t="str">
            <v>M3</v>
          </cell>
          <cell r="F33">
            <v>0.54</v>
          </cell>
        </row>
        <row r="38">
          <cell r="F38" t="str">
            <v xml:space="preserve">JUMLAH HARGA BAHAN   </v>
          </cell>
        </row>
        <row r="40">
          <cell r="A40" t="str">
            <v>C.</v>
          </cell>
          <cell r="C40" t="str">
            <v>PERALATAN</v>
          </cell>
        </row>
        <row r="42">
          <cell r="A42" t="str">
            <v>1</v>
          </cell>
          <cell r="C42" t="str">
            <v>Wheel Loader</v>
          </cell>
          <cell r="D42" t="str">
            <v>(E15)</v>
          </cell>
          <cell r="E42" t="str">
            <v>Jam</v>
          </cell>
        </row>
        <row r="43">
          <cell r="A43" t="str">
            <v>2</v>
          </cell>
          <cell r="C43" t="str">
            <v>Dump Truck</v>
          </cell>
          <cell r="D43" t="str">
            <v>(E09)</v>
          </cell>
          <cell r="E43" t="str">
            <v>Jam</v>
          </cell>
        </row>
        <row r="44">
          <cell r="A44" t="str">
            <v>3</v>
          </cell>
          <cell r="C44" t="str">
            <v>Motor Grader</v>
          </cell>
          <cell r="D44" t="str">
            <v>(E13)</v>
          </cell>
          <cell r="E44" t="str">
            <v>Jam</v>
          </cell>
        </row>
        <row r="45">
          <cell r="A45" t="str">
            <v>4</v>
          </cell>
          <cell r="C45" t="str">
            <v>Tandem Roller</v>
          </cell>
          <cell r="D45" t="str">
            <v>(E17)</v>
          </cell>
          <cell r="E45" t="str">
            <v>Jam</v>
          </cell>
        </row>
        <row r="46">
          <cell r="A46" t="str">
            <v>5</v>
          </cell>
          <cell r="C46" t="str">
            <v>Water Tanker</v>
          </cell>
          <cell r="D46" t="str">
            <v>(E23)</v>
          </cell>
          <cell r="E46" t="str">
            <v>Jam</v>
          </cell>
        </row>
        <row r="47">
          <cell r="A47" t="str">
            <v>6</v>
          </cell>
          <cell r="C47" t="str">
            <v>Alat Bantu</v>
          </cell>
          <cell r="E47" t="str">
            <v>Ls</v>
          </cell>
        </row>
        <row r="50">
          <cell r="F50" t="str">
            <v xml:space="preserve">JUMLAH HARGA PERALATAN   </v>
          </cell>
        </row>
        <row r="52">
          <cell r="A52" t="str">
            <v>D.</v>
          </cell>
          <cell r="C52" t="str">
            <v>JUMLAH HARGA TENAGA, BAHAN DAN PERALATAN  ( A + B + C )</v>
          </cell>
        </row>
        <row r="53">
          <cell r="A53" t="str">
            <v>E.</v>
          </cell>
          <cell r="C53" t="str">
            <v>OVERHEAD &amp; PROFIT</v>
          </cell>
          <cell r="E53">
            <v>10</v>
          </cell>
          <cell r="F53" t="str">
            <v>%  x  D</v>
          </cell>
        </row>
        <row r="54">
          <cell r="A54" t="str">
            <v>F.</v>
          </cell>
          <cell r="C54" t="str">
            <v>HARGA SATUAN PEKERJAAN  ( D + E ) DIBULATKAN</v>
          </cell>
        </row>
        <row r="55">
          <cell r="A55" t="str">
            <v>Note: 1</v>
          </cell>
          <cell r="C55" t="str">
            <v>SATUAN dapat berdasarkan atas jam operasi untuk Tenaga Kerja dan Peralatan, volume dan/atau ukuran</v>
          </cell>
        </row>
        <row r="56">
          <cell r="C56" t="str">
            <v>berat untuk bahan-bahan.</v>
          </cell>
        </row>
        <row r="57">
          <cell r="A57">
            <v>2</v>
          </cell>
          <cell r="C57" t="str">
            <v>Kuantitas satuan adalah kuantitas setiap komponen untuk menyelesaikan satu satuan pekerjaan dari nomor</v>
          </cell>
        </row>
        <row r="58">
          <cell r="C58" t="str">
            <v>mata pembayaran.</v>
          </cell>
        </row>
        <row r="59">
          <cell r="A59">
            <v>3</v>
          </cell>
          <cell r="C59" t="str">
            <v>Biaya satuan untuk peralatan sudah termasuk bahan bakar, bahan habis dipakai dan operator.</v>
          </cell>
        </row>
        <row r="60">
          <cell r="A60">
            <v>4</v>
          </cell>
          <cell r="C60" t="str">
            <v>Biaya satuan sudah termasuk pengeluaran untuk seluruh pajak yang berkaitan (tetapi tidak termasuk PPN</v>
          </cell>
        </row>
        <row r="61">
          <cell r="C61" t="str">
            <v>yang dibayar dari kontrak) dan biaya-biaya lainnya.</v>
          </cell>
        </row>
        <row r="180">
          <cell r="I180" t="str">
            <v>Analisa EI-422</v>
          </cell>
        </row>
        <row r="182">
          <cell r="A182" t="str">
            <v>FORMULIR STANDAR UNTUK</v>
          </cell>
        </row>
        <row r="183">
          <cell r="A183" t="str">
            <v>PEREKAMAN ANALISA MASING-MASING HARGA SATUAN</v>
          </cell>
        </row>
        <row r="184">
          <cell r="A184">
            <v>0</v>
          </cell>
        </row>
        <row r="186">
          <cell r="A186" t="str">
            <v>Kegiatan</v>
          </cell>
          <cell r="D186" t="str">
            <v>: Pembangunan Jalan Dinas Bina Marga dan Cipta Karya Prov. NAD</v>
          </cell>
        </row>
        <row r="187">
          <cell r="A187" t="str">
            <v>Nama Paket</v>
          </cell>
          <cell r="D187" t="str">
            <v>: ………….………………………………..</v>
          </cell>
        </row>
        <row r="188">
          <cell r="A188" t="str">
            <v>Nomor Paket</v>
          </cell>
          <cell r="D188" t="str">
            <v>: ………….………………………………..</v>
          </cell>
        </row>
        <row r="189">
          <cell r="A189" t="str">
            <v>Tahun Anggaran</v>
          </cell>
          <cell r="D189" t="str">
            <v>: 2009</v>
          </cell>
        </row>
        <row r="190">
          <cell r="A190" t="str">
            <v>Prop / Kab / Kodya</v>
          </cell>
          <cell r="D190" t="str">
            <v>: ………….………………………………..</v>
          </cell>
        </row>
        <row r="191">
          <cell r="A191" t="str">
            <v>ITEM PEMBAYARAN NO.</v>
          </cell>
          <cell r="D191" t="str">
            <v>:  4.2 (2)</v>
          </cell>
          <cell r="G191" t="str">
            <v>PERKIRAAN VOL. PEK.</v>
          </cell>
          <cell r="I191" t="str">
            <v>:</v>
          </cell>
        </row>
        <row r="192">
          <cell r="A192" t="str">
            <v>JENIS PEKERJAAN</v>
          </cell>
          <cell r="D192" t="str">
            <v>:  Lps. Pond. Ag. Kls. B</v>
          </cell>
          <cell r="G192" t="str">
            <v>TOTAL HARGA (Rp.)</v>
          </cell>
          <cell r="I192" t="str">
            <v>:</v>
          </cell>
        </row>
        <row r="193">
          <cell r="A193" t="str">
            <v>SATUAN PEMBAYARAN</v>
          </cell>
          <cell r="D193" t="str">
            <v>:  M3</v>
          </cell>
          <cell r="G193" t="str">
            <v>% THD. BIAYA PROYEK</v>
          </cell>
          <cell r="I193" t="str">
            <v>:</v>
          </cell>
        </row>
        <row r="196">
          <cell r="F196" t="str">
            <v>PERKIRAAN</v>
          </cell>
          <cell r="G196" t="str">
            <v>HARGA</v>
          </cell>
          <cell r="H196" t="str">
            <v>JUMLAH</v>
          </cell>
        </row>
        <row r="197">
          <cell r="A197" t="str">
            <v>NO.</v>
          </cell>
          <cell r="C197" t="str">
            <v>KOMPONEN</v>
          </cell>
          <cell r="E197" t="str">
            <v>SATUAN</v>
          </cell>
          <cell r="F197" t="str">
            <v>KUANTITAS</v>
          </cell>
          <cell r="G197" t="str">
            <v>SATUAN</v>
          </cell>
          <cell r="H197" t="str">
            <v>HARGA</v>
          </cell>
        </row>
        <row r="198">
          <cell r="G198" t="str">
            <v>(Rp.)</v>
          </cell>
          <cell r="H198" t="str">
            <v>(Rp.)</v>
          </cell>
        </row>
        <row r="201">
          <cell r="A201" t="str">
            <v>A.</v>
          </cell>
          <cell r="C201" t="str">
            <v>TENAGA</v>
          </cell>
        </row>
        <row r="203">
          <cell r="A203" t="str">
            <v>1.</v>
          </cell>
          <cell r="C203" t="str">
            <v>Pekerja</v>
          </cell>
          <cell r="D203" t="str">
            <v>(L01)</v>
          </cell>
          <cell r="E203" t="str">
            <v>Jam</v>
          </cell>
        </row>
        <row r="204">
          <cell r="A204" t="str">
            <v>2.</v>
          </cell>
          <cell r="C204" t="str">
            <v>Mandor</v>
          </cell>
          <cell r="D204" t="str">
            <v>(L03)</v>
          </cell>
          <cell r="E204" t="str">
            <v>Jam</v>
          </cell>
        </row>
        <row r="207">
          <cell r="F207" t="str">
            <v xml:space="preserve">JUMLAH HARGA TENAGA   </v>
          </cell>
        </row>
        <row r="209">
          <cell r="A209" t="str">
            <v>B.</v>
          </cell>
          <cell r="C209" t="str">
            <v>BAHAN</v>
          </cell>
        </row>
        <row r="211">
          <cell r="A211" t="str">
            <v>1.</v>
          </cell>
          <cell r="C211" t="str">
            <v>Agregat Kasar     (M03)</v>
          </cell>
          <cell r="E211" t="str">
            <v>M3</v>
          </cell>
          <cell r="F211">
            <v>0.42</v>
          </cell>
        </row>
        <row r="212">
          <cell r="A212" t="str">
            <v>2.</v>
          </cell>
          <cell r="C212" t="str">
            <v>Agregat Halus     (M04)</v>
          </cell>
          <cell r="E212" t="str">
            <v>M3</v>
          </cell>
          <cell r="F212">
            <v>0.24</v>
          </cell>
        </row>
        <row r="213">
          <cell r="A213" t="str">
            <v>3.</v>
          </cell>
          <cell r="C213" t="str">
            <v>Sirtu</v>
          </cell>
          <cell r="D213" t="str">
            <v>(M16)</v>
          </cell>
          <cell r="E213" t="str">
            <v>M3</v>
          </cell>
          <cell r="F213">
            <v>0.54</v>
          </cell>
        </row>
        <row r="217">
          <cell r="F217" t="str">
            <v xml:space="preserve">JUMLAH HARGA BAHAN   </v>
          </cell>
        </row>
        <row r="219">
          <cell r="A219" t="str">
            <v>C.</v>
          </cell>
          <cell r="C219" t="str">
            <v>PERALATAN</v>
          </cell>
        </row>
        <row r="221">
          <cell r="A221" t="str">
            <v>1</v>
          </cell>
          <cell r="C221" t="str">
            <v>Wheel Loader</v>
          </cell>
          <cell r="D221" t="str">
            <v>(E15)</v>
          </cell>
          <cell r="E221" t="str">
            <v>Jam</v>
          </cell>
        </row>
        <row r="222">
          <cell r="A222" t="str">
            <v>2</v>
          </cell>
          <cell r="C222" t="str">
            <v>Dump Truck</v>
          </cell>
          <cell r="D222" t="str">
            <v>(E09)</v>
          </cell>
          <cell r="E222" t="str">
            <v>Jam</v>
          </cell>
        </row>
        <row r="223">
          <cell r="A223" t="str">
            <v>3</v>
          </cell>
          <cell r="C223" t="str">
            <v>Motor Grader</v>
          </cell>
          <cell r="D223" t="str">
            <v>(E13)</v>
          </cell>
          <cell r="E223" t="str">
            <v>Jam</v>
          </cell>
        </row>
        <row r="224">
          <cell r="A224" t="str">
            <v>4</v>
          </cell>
          <cell r="C224" t="str">
            <v>Tandem Roller</v>
          </cell>
          <cell r="D224" t="str">
            <v>(E17)</v>
          </cell>
          <cell r="E224" t="str">
            <v>Jam</v>
          </cell>
        </row>
        <row r="225">
          <cell r="A225" t="str">
            <v>5</v>
          </cell>
          <cell r="C225" t="str">
            <v>Water Tanker</v>
          </cell>
          <cell r="D225" t="str">
            <v>(E23)</v>
          </cell>
          <cell r="E225" t="str">
            <v>Jam</v>
          </cell>
        </row>
        <row r="226">
          <cell r="A226" t="str">
            <v>6</v>
          </cell>
          <cell r="C226" t="str">
            <v>Alat Bantu</v>
          </cell>
          <cell r="E226" t="str">
            <v>Ls</v>
          </cell>
        </row>
        <row r="229">
          <cell r="F229" t="str">
            <v xml:space="preserve">JUMLAH HARGA PERALATAN   </v>
          </cell>
        </row>
        <row r="231">
          <cell r="A231" t="str">
            <v>D.</v>
          </cell>
          <cell r="C231" t="str">
            <v>JUMLAH HARGA TENAGA, BAHAN DAN PERALATAN  ( A + B + C )</v>
          </cell>
        </row>
        <row r="232">
          <cell r="A232" t="str">
            <v>E.</v>
          </cell>
          <cell r="C232" t="str">
            <v>OVERHEAD &amp; PROFIT</v>
          </cell>
          <cell r="E232">
            <v>10</v>
          </cell>
          <cell r="F232" t="str">
            <v>%  x  D</v>
          </cell>
        </row>
        <row r="233">
          <cell r="A233" t="str">
            <v>F.</v>
          </cell>
          <cell r="C233" t="str">
            <v>HARGA SATUAN PEKERJAAN  ( D + E ) DIBULATKAN</v>
          </cell>
        </row>
        <row r="234">
          <cell r="A234" t="str">
            <v>Note: 1</v>
          </cell>
          <cell r="C234" t="str">
            <v>SATUAN dapat berdasarkan atas jam operasi untuk Tenaga Kerja dan Peralatan, volume dan/atau ukuran</v>
          </cell>
        </row>
        <row r="235">
          <cell r="C235" t="str">
            <v>berat untuk bahan-bahan.</v>
          </cell>
        </row>
        <row r="236">
          <cell r="A236">
            <v>2</v>
          </cell>
          <cell r="C236" t="str">
            <v>Kuantitas satuan adalah kuantitas setiap komponen untuk menyelesaikan satu satuan pekerjaan dari nomor</v>
          </cell>
        </row>
        <row r="237">
          <cell r="C237" t="str">
            <v>mata pembayaran.</v>
          </cell>
        </row>
        <row r="238">
          <cell r="A238">
            <v>3</v>
          </cell>
          <cell r="C238" t="str">
            <v>Biaya satuan untuk peralatan sudah termasuk bahan bakar, bahan habis dipakai dan operator.</v>
          </cell>
        </row>
        <row r="239">
          <cell r="A239">
            <v>4</v>
          </cell>
          <cell r="C239" t="str">
            <v>Biaya satuan sudah termasuk pengeluaran untuk seluruh pajak yang berkaitan (tetapi tidak termasuk PPN</v>
          </cell>
        </row>
        <row r="240">
          <cell r="C240" t="str">
            <v>yang dibayar dari kontrak) dan biaya-biaya lainnya.</v>
          </cell>
        </row>
        <row r="359">
          <cell r="I359" t="str">
            <v>Analisa EI-424</v>
          </cell>
        </row>
        <row r="361">
          <cell r="A361" t="str">
            <v>FORMULIR STANDAR UNTUK</v>
          </cell>
        </row>
        <row r="362">
          <cell r="A362" t="str">
            <v>PEREKAMAN ANALISA MASING-MASING HARGA SATUAN</v>
          </cell>
        </row>
        <row r="363">
          <cell r="A363">
            <v>0</v>
          </cell>
        </row>
        <row r="365">
          <cell r="A365" t="str">
            <v>Kegiatan</v>
          </cell>
          <cell r="D365" t="str">
            <v>: Pembangunan Jalan Dinas Bina Marga dan Cipta Karya Prov. NAD</v>
          </cell>
        </row>
        <row r="366">
          <cell r="A366" t="str">
            <v>Nama Paket</v>
          </cell>
          <cell r="D366" t="str">
            <v>: ………….………………………………..</v>
          </cell>
        </row>
        <row r="367">
          <cell r="A367" t="str">
            <v>Nomor Paket</v>
          </cell>
          <cell r="D367" t="str">
            <v>: ………….………………………………..</v>
          </cell>
        </row>
        <row r="368">
          <cell r="A368" t="str">
            <v>Tahun Anggaran</v>
          </cell>
          <cell r="D368" t="str">
            <v>: 2009</v>
          </cell>
        </row>
        <row r="369">
          <cell r="A369" t="str">
            <v>Prop / Kab / Kodya</v>
          </cell>
          <cell r="D369" t="str">
            <v>: ………….………………………………..</v>
          </cell>
        </row>
        <row r="370">
          <cell r="A370" t="str">
            <v>ITEM PEMBAYARAN NO.</v>
          </cell>
          <cell r="D370" t="str">
            <v>:  4.2 (4)</v>
          </cell>
          <cell r="G370" t="str">
            <v>PERKIRAAN VOL. PEK.</v>
          </cell>
          <cell r="I370" t="str">
            <v>:</v>
          </cell>
        </row>
        <row r="371">
          <cell r="A371" t="str">
            <v>JENIS PEKERJAAN</v>
          </cell>
          <cell r="D371" t="str">
            <v>:  SEMEN Utk. Pond. Semen Tanah</v>
          </cell>
          <cell r="G371" t="str">
            <v>TOTAL HARGA (Rp.)</v>
          </cell>
          <cell r="I371" t="str">
            <v>:</v>
          </cell>
        </row>
        <row r="372">
          <cell r="A372" t="str">
            <v>SATUAN PEMBAYARAN</v>
          </cell>
          <cell r="D372" t="str">
            <v>:  TON</v>
          </cell>
          <cell r="G372" t="str">
            <v>% THD. BIAYA PROYEK</v>
          </cell>
          <cell r="I372" t="str">
            <v>:</v>
          </cell>
        </row>
        <row r="375">
          <cell r="F375" t="str">
            <v>PERKIRAAN</v>
          </cell>
          <cell r="G375" t="str">
            <v>HARGA</v>
          </cell>
          <cell r="H375" t="str">
            <v>JUMLAH</v>
          </cell>
        </row>
        <row r="376">
          <cell r="A376" t="str">
            <v>NO.</v>
          </cell>
          <cell r="C376" t="str">
            <v>KOMPONEN</v>
          </cell>
          <cell r="E376" t="str">
            <v>SATUAN</v>
          </cell>
          <cell r="F376" t="str">
            <v>KUANTITAS</v>
          </cell>
          <cell r="G376" t="str">
            <v>SATUAN</v>
          </cell>
          <cell r="H376" t="str">
            <v>HARGA</v>
          </cell>
        </row>
        <row r="377">
          <cell r="G377" t="str">
            <v>(Rp.)</v>
          </cell>
          <cell r="H377" t="str">
            <v>(Rp.)</v>
          </cell>
        </row>
        <row r="380">
          <cell r="A380" t="str">
            <v>A.</v>
          </cell>
          <cell r="C380" t="str">
            <v>TENAGA</v>
          </cell>
        </row>
        <row r="382">
          <cell r="A382" t="str">
            <v>1.</v>
          </cell>
          <cell r="C382" t="str">
            <v>Pekerja</v>
          </cell>
          <cell r="D382" t="str">
            <v>(L01)</v>
          </cell>
          <cell r="E382" t="str">
            <v>Jam</v>
          </cell>
        </row>
        <row r="383">
          <cell r="A383" t="str">
            <v>2.</v>
          </cell>
          <cell r="C383" t="str">
            <v>Mandor</v>
          </cell>
          <cell r="D383" t="str">
            <v>(L03)</v>
          </cell>
          <cell r="E383" t="str">
            <v>Jam</v>
          </cell>
        </row>
        <row r="386">
          <cell r="F386" t="str">
            <v xml:space="preserve">JUMLAH HARGA TENAGA   </v>
          </cell>
        </row>
        <row r="388">
          <cell r="A388" t="str">
            <v>B.</v>
          </cell>
          <cell r="C388" t="str">
            <v>BAHAN</v>
          </cell>
        </row>
        <row r="389">
          <cell r="A389" t="str">
            <v>1.</v>
          </cell>
          <cell r="C389" t="str">
            <v>Semen</v>
          </cell>
          <cell r="D389" t="str">
            <v>(M12)</v>
          </cell>
          <cell r="E389" t="str">
            <v>Kg</v>
          </cell>
          <cell r="F389">
            <v>1050</v>
          </cell>
        </row>
        <row r="396">
          <cell r="F396" t="str">
            <v xml:space="preserve">JUMLAH HARGA BAHAN   </v>
          </cell>
        </row>
        <row r="398">
          <cell r="A398" t="str">
            <v>C.</v>
          </cell>
          <cell r="C398" t="str">
            <v>PERALATAN</v>
          </cell>
        </row>
        <row r="399">
          <cell r="A399" t="str">
            <v>1.</v>
          </cell>
          <cell r="C399" t="str">
            <v>Dump Truck</v>
          </cell>
          <cell r="D399" t="str">
            <v>(E08)</v>
          </cell>
          <cell r="E399" t="str">
            <v>Jam</v>
          </cell>
        </row>
        <row r="408">
          <cell r="F408" t="str">
            <v xml:space="preserve">JUMLAH HARGA PERALATAN   </v>
          </cell>
        </row>
        <row r="410">
          <cell r="A410" t="str">
            <v>D.</v>
          </cell>
          <cell r="C410" t="str">
            <v>JUMLAH HARGA TENAGA, BAHAN DAN PERALATAN  ( A + B + C )</v>
          </cell>
        </row>
        <row r="411">
          <cell r="A411" t="str">
            <v>E.</v>
          </cell>
          <cell r="C411" t="str">
            <v>OVERHEAD &amp; PROFIT</v>
          </cell>
          <cell r="E411">
            <v>10</v>
          </cell>
          <cell r="F411" t="str">
            <v>%  x  D</v>
          </cell>
        </row>
        <row r="412">
          <cell r="A412" t="str">
            <v>F.</v>
          </cell>
          <cell r="C412" t="str">
            <v>HARGA SATUAN PEKERJAAN  ( D + E ) DIBULATKAN</v>
          </cell>
        </row>
        <row r="413">
          <cell r="A413" t="str">
            <v>Note: 1</v>
          </cell>
          <cell r="C413" t="str">
            <v>SATUAN dapat berdasarkan atas jam operasi untuk Tenaga Kerja dan Peralatan, volume dan/atau ukuran</v>
          </cell>
        </row>
        <row r="414">
          <cell r="C414" t="str">
            <v>berat untuk bahan-bahan.</v>
          </cell>
        </row>
        <row r="415">
          <cell r="A415">
            <v>2</v>
          </cell>
          <cell r="C415" t="str">
            <v>Kuantitas satuan adalah kuantitas setiap komponen untuk menyelesaikan satu satuan pekerjaan dari nomor</v>
          </cell>
        </row>
        <row r="416">
          <cell r="C416" t="str">
            <v>mata pembayaran.</v>
          </cell>
        </row>
        <row r="417">
          <cell r="A417">
            <v>3</v>
          </cell>
          <cell r="C417" t="str">
            <v>Biaya satuan untuk peralatan sudah termasuk bahan bakar, bahan habis dipakai dan operator.</v>
          </cell>
        </row>
        <row r="418">
          <cell r="A418">
            <v>4</v>
          </cell>
          <cell r="C418" t="str">
            <v>Biaya satuan sudah termasuk pengeluaran untuk seluruh pajak yang berkaitan (tetapi tidak termasuk PPN</v>
          </cell>
        </row>
        <row r="419">
          <cell r="C419" t="str">
            <v>yang dibayar dari kontrak) dan biaya-biaya lainnya.</v>
          </cell>
        </row>
        <row r="479">
          <cell r="I479" t="str">
            <v>Analisa EI-423</v>
          </cell>
        </row>
        <row r="481">
          <cell r="A481" t="str">
            <v>FORMULIR STANDAR UNTUK</v>
          </cell>
        </row>
        <row r="482">
          <cell r="A482" t="str">
            <v>PEREKAMAN ANALISA MASING-MASING HARGA SATUAN</v>
          </cell>
        </row>
        <row r="483">
          <cell r="A483">
            <v>0</v>
          </cell>
        </row>
        <row r="485">
          <cell r="A485" t="str">
            <v>Kegiatan</v>
          </cell>
          <cell r="D485" t="str">
            <v>: Pembangunan Jalan Dinas Bina Marga dan Cipta Karya Prov. NAD</v>
          </cell>
        </row>
        <row r="486">
          <cell r="A486" t="str">
            <v>Nama Paket</v>
          </cell>
          <cell r="D486" t="str">
            <v>: ………….………………………………..</v>
          </cell>
        </row>
        <row r="487">
          <cell r="A487" t="str">
            <v>Nomor Paket</v>
          </cell>
          <cell r="D487" t="str">
            <v>: ………….………………………………..</v>
          </cell>
        </row>
        <row r="488">
          <cell r="A488" t="str">
            <v>Tahun Anggaran</v>
          </cell>
          <cell r="D488" t="str">
            <v>: 2009</v>
          </cell>
        </row>
        <row r="489">
          <cell r="A489" t="str">
            <v>Prop / Kab / Kodya</v>
          </cell>
          <cell r="D489" t="str">
            <v>: ………….………………………………..</v>
          </cell>
        </row>
        <row r="490">
          <cell r="A490" t="str">
            <v>ITEM PEMBAYARAN NO.</v>
          </cell>
          <cell r="D490" t="str">
            <v>:  4.2 (3)</v>
          </cell>
          <cell r="G490" t="str">
            <v>PERKIRAAN VOL. PEK.</v>
          </cell>
          <cell r="I490" t="str">
            <v>:</v>
          </cell>
        </row>
        <row r="491">
          <cell r="A491" t="str">
            <v>JENIS PEKERJAAN</v>
          </cell>
          <cell r="D491" t="str">
            <v>:  Lapis Pondasi Semen Tanah</v>
          </cell>
          <cell r="G491" t="str">
            <v>TOTAL HARGA (Rp.)</v>
          </cell>
          <cell r="I491" t="str">
            <v>:</v>
          </cell>
        </row>
        <row r="492">
          <cell r="A492" t="str">
            <v>SATUAN PEMBAYARAN</v>
          </cell>
          <cell r="D492" t="str">
            <v>:  M3</v>
          </cell>
          <cell r="G492" t="str">
            <v>% THD. BIAYA PROYEK</v>
          </cell>
          <cell r="I492" t="str">
            <v>:</v>
          </cell>
        </row>
        <row r="495">
          <cell r="F495" t="str">
            <v>PERKIRAAN</v>
          </cell>
          <cell r="G495" t="str">
            <v>HARGA</v>
          </cell>
          <cell r="H495" t="str">
            <v>JUMLAH</v>
          </cell>
        </row>
        <row r="496">
          <cell r="A496" t="str">
            <v>NO.</v>
          </cell>
          <cell r="C496" t="str">
            <v>KOMPONEN</v>
          </cell>
          <cell r="E496" t="str">
            <v>SATUAN</v>
          </cell>
          <cell r="F496" t="str">
            <v>KUANTITAS</v>
          </cell>
          <cell r="G496" t="str">
            <v>SATUAN</v>
          </cell>
          <cell r="H496" t="str">
            <v>HARGA</v>
          </cell>
        </row>
        <row r="497">
          <cell r="G497" t="str">
            <v>(Rp.)</v>
          </cell>
          <cell r="H497" t="str">
            <v>(Rp.)</v>
          </cell>
        </row>
        <row r="500">
          <cell r="A500" t="str">
            <v>A.</v>
          </cell>
          <cell r="C500" t="str">
            <v>TENAGA</v>
          </cell>
        </row>
        <row r="502">
          <cell r="A502" t="str">
            <v>1.</v>
          </cell>
          <cell r="C502" t="str">
            <v>Pekerja</v>
          </cell>
          <cell r="D502" t="str">
            <v>(L01)</v>
          </cell>
          <cell r="E502" t="str">
            <v>Jam</v>
          </cell>
        </row>
        <row r="503">
          <cell r="A503" t="str">
            <v>2.</v>
          </cell>
          <cell r="C503" t="str">
            <v>Mandor</v>
          </cell>
          <cell r="D503" t="str">
            <v>(L03)</v>
          </cell>
          <cell r="E503" t="str">
            <v>Jam</v>
          </cell>
        </row>
        <row r="506">
          <cell r="F506" t="str">
            <v xml:space="preserve">JUMLAH HARGA TENAGA   </v>
          </cell>
        </row>
        <row r="508">
          <cell r="A508" t="str">
            <v>B.</v>
          </cell>
          <cell r="C508" t="str">
            <v>BAHAN</v>
          </cell>
        </row>
        <row r="509">
          <cell r="A509" t="str">
            <v>1.</v>
          </cell>
          <cell r="C509" t="str">
            <v>Tanah Timbunan  (M08)</v>
          </cell>
          <cell r="E509" t="str">
            <v>M3</v>
          </cell>
          <cell r="F509">
            <v>1.2</v>
          </cell>
        </row>
        <row r="516">
          <cell r="F516" t="str">
            <v xml:space="preserve">JUMLAH HARGA BAHAN   </v>
          </cell>
        </row>
        <row r="518">
          <cell r="A518" t="str">
            <v>C.</v>
          </cell>
          <cell r="C518" t="str">
            <v>PERALATAN</v>
          </cell>
        </row>
        <row r="519">
          <cell r="A519" t="str">
            <v>1.</v>
          </cell>
          <cell r="C519" t="str">
            <v>Wheel Loader</v>
          </cell>
          <cell r="D519" t="str">
            <v>(E15)</v>
          </cell>
          <cell r="E519" t="str">
            <v>Jam</v>
          </cell>
        </row>
        <row r="520">
          <cell r="A520" t="str">
            <v>2.</v>
          </cell>
          <cell r="C520" t="str">
            <v>Dump Truck</v>
          </cell>
          <cell r="D520" t="str">
            <v>(E08)</v>
          </cell>
          <cell r="E520" t="str">
            <v>Jam</v>
          </cell>
        </row>
        <row r="521">
          <cell r="A521" t="str">
            <v>3.</v>
          </cell>
          <cell r="C521" t="str">
            <v>Motor Grader</v>
          </cell>
          <cell r="D521" t="str">
            <v>(E13)</v>
          </cell>
          <cell r="E521" t="str">
            <v>Jam</v>
          </cell>
        </row>
        <row r="522">
          <cell r="A522" t="str">
            <v>4.</v>
          </cell>
          <cell r="C522" t="str">
            <v>Tandem Roller</v>
          </cell>
          <cell r="D522" t="str">
            <v>(E17)</v>
          </cell>
          <cell r="E522" t="str">
            <v>Jam</v>
          </cell>
        </row>
        <row r="523">
          <cell r="A523" t="str">
            <v>5.</v>
          </cell>
          <cell r="C523" t="str">
            <v>P. Tyre Roller</v>
          </cell>
          <cell r="D523" t="str">
            <v>(E18)</v>
          </cell>
          <cell r="E523" t="str">
            <v>Jam</v>
          </cell>
        </row>
        <row r="524">
          <cell r="A524" t="str">
            <v>6.</v>
          </cell>
          <cell r="C524" t="str">
            <v>Water Tanker</v>
          </cell>
          <cell r="D524" t="str">
            <v>(E23)</v>
          </cell>
          <cell r="E524" t="str">
            <v>Jam</v>
          </cell>
        </row>
        <row r="525">
          <cell r="A525" t="str">
            <v>7.</v>
          </cell>
          <cell r="C525" t="str">
            <v>Fulvi Mixer</v>
          </cell>
          <cell r="D525" t="str">
            <v>(E27)</v>
          </cell>
          <cell r="E525" t="str">
            <v>Jam</v>
          </cell>
        </row>
        <row r="526">
          <cell r="A526" t="str">
            <v>8.</v>
          </cell>
          <cell r="C526" t="str">
            <v>Alat Bantu</v>
          </cell>
          <cell r="E526" t="str">
            <v>Ls</v>
          </cell>
        </row>
        <row r="528">
          <cell r="F528" t="str">
            <v xml:space="preserve">JUMLAH HARGA PERALATAN   </v>
          </cell>
        </row>
        <row r="530">
          <cell r="A530" t="str">
            <v>D.</v>
          </cell>
          <cell r="C530" t="str">
            <v>JUMLAH HARGA TENAGA, BAHAN DAN PERALATAN  ( A + B + C )</v>
          </cell>
        </row>
        <row r="531">
          <cell r="A531" t="str">
            <v>E.</v>
          </cell>
          <cell r="C531" t="str">
            <v>OVERHEAD &amp; PROFIT</v>
          </cell>
          <cell r="E531">
            <v>10</v>
          </cell>
          <cell r="F531" t="str">
            <v>%  x  D</v>
          </cell>
        </row>
        <row r="532">
          <cell r="A532" t="str">
            <v>F.</v>
          </cell>
          <cell r="C532" t="str">
            <v>HARGA SATUAN PEKERJAAN  ( D + E )</v>
          </cell>
        </row>
        <row r="533">
          <cell r="A533" t="str">
            <v>Note: 1</v>
          </cell>
          <cell r="C533" t="str">
            <v>SATUAN dapat berdasarkan atas jam operasi untuk Tenaga Kerja dan Peralatan, volume dan/atau ukuran</v>
          </cell>
        </row>
        <row r="534">
          <cell r="C534" t="str">
            <v>berat untuk bahan-bahan.</v>
          </cell>
        </row>
        <row r="535">
          <cell r="A535">
            <v>2</v>
          </cell>
          <cell r="C535" t="str">
            <v>Kuantitas satuan adalah kuantitas setiap komponen untuk menyelesaikan satu satuan pekerjaan dari nomor</v>
          </cell>
        </row>
        <row r="536">
          <cell r="C536" t="str">
            <v>mata pembayaran.</v>
          </cell>
        </row>
        <row r="537">
          <cell r="A537">
            <v>3</v>
          </cell>
          <cell r="C537" t="str">
            <v>Biaya satuan untuk peralatan sudah termasuk bahan bakar, bahan habis dipakai dan operator.</v>
          </cell>
        </row>
        <row r="538">
          <cell r="A538">
            <v>4</v>
          </cell>
          <cell r="C538" t="str">
            <v>Biaya satuan sudah termasuk pengeluaran untuk seluruh pajak yang berkaitan (tetapi tidak termasuk PPN</v>
          </cell>
        </row>
        <row r="539">
          <cell r="C539" t="str">
            <v>yang dibayar dari kontrak) dan biaya-biaya lainnya.</v>
          </cell>
        </row>
        <row r="718">
          <cell r="I718" t="str">
            <v>Analisa EI-425</v>
          </cell>
        </row>
        <row r="720">
          <cell r="A720" t="str">
            <v>FORMULIR STANDAR UNTUK</v>
          </cell>
        </row>
        <row r="721">
          <cell r="A721" t="str">
            <v>PEREKAMAN ANALISA MASING-MASING HARGA SATUAN</v>
          </cell>
        </row>
        <row r="722">
          <cell r="A722">
            <v>0</v>
          </cell>
        </row>
        <row r="724">
          <cell r="A724" t="str">
            <v>Kegiatan</v>
          </cell>
          <cell r="D724" t="str">
            <v>: Pembangunan Jalan Dinas Bina Marga dan Cipta Karya Prov. NAD</v>
          </cell>
        </row>
        <row r="725">
          <cell r="A725" t="str">
            <v>Nama Paket</v>
          </cell>
          <cell r="D725" t="str">
            <v>: ………….………………………………..</v>
          </cell>
        </row>
        <row r="726">
          <cell r="A726" t="str">
            <v>Nomor Paket</v>
          </cell>
          <cell r="D726" t="str">
            <v>: ………….………………………………..</v>
          </cell>
        </row>
        <row r="727">
          <cell r="A727" t="str">
            <v>Tahun Anggaran</v>
          </cell>
          <cell r="D727" t="str">
            <v>: 2009</v>
          </cell>
        </row>
        <row r="728">
          <cell r="A728" t="str">
            <v>Prop / Kab / Kodya</v>
          </cell>
          <cell r="D728" t="str">
            <v>: ………….………………………………..</v>
          </cell>
        </row>
        <row r="729">
          <cell r="A729" t="str">
            <v>ITEM PEMBAYARAN NO.</v>
          </cell>
          <cell r="D729" t="str">
            <v>:  4.2 (5)</v>
          </cell>
          <cell r="G729" t="str">
            <v>PERKIRAAN VOL. PEK.</v>
          </cell>
          <cell r="I729" t="str">
            <v>:</v>
          </cell>
        </row>
        <row r="730">
          <cell r="A730" t="str">
            <v>JENIS PEKERJAAN</v>
          </cell>
          <cell r="D730" t="str">
            <v>:  Laburan Aspal Satu Lapis (BURTU)</v>
          </cell>
          <cell r="G730" t="str">
            <v>TOTAL HARGA (Rp.)</v>
          </cell>
          <cell r="I730" t="str">
            <v>:</v>
          </cell>
        </row>
        <row r="731">
          <cell r="A731" t="str">
            <v>SATUAN PEMBAYARAN</v>
          </cell>
          <cell r="D731" t="str">
            <v>:  M2</v>
          </cell>
          <cell r="G731" t="str">
            <v>% THD. BIAYA PROYEK</v>
          </cell>
          <cell r="I731" t="str">
            <v>:</v>
          </cell>
        </row>
        <row r="734">
          <cell r="F734" t="str">
            <v>PERKIRAAN</v>
          </cell>
          <cell r="G734" t="str">
            <v>HARGA</v>
          </cell>
          <cell r="H734" t="str">
            <v>JUMLAH</v>
          </cell>
        </row>
        <row r="735">
          <cell r="A735" t="str">
            <v>NO.</v>
          </cell>
          <cell r="C735" t="str">
            <v>KOMPONEN</v>
          </cell>
          <cell r="E735" t="str">
            <v>SATUAN</v>
          </cell>
          <cell r="F735" t="str">
            <v>KUANTITAS</v>
          </cell>
          <cell r="G735" t="str">
            <v>SATUAN</v>
          </cell>
          <cell r="H735" t="str">
            <v>HARGA</v>
          </cell>
        </row>
        <row r="736">
          <cell r="G736" t="str">
            <v>(Rp.)</v>
          </cell>
          <cell r="H736" t="str">
            <v>(Rp.)</v>
          </cell>
        </row>
        <row r="739">
          <cell r="A739" t="str">
            <v>A.</v>
          </cell>
          <cell r="C739" t="str">
            <v>TENAGA</v>
          </cell>
        </row>
        <row r="741">
          <cell r="A741" t="str">
            <v>1.</v>
          </cell>
          <cell r="C741" t="str">
            <v>Pekerja</v>
          </cell>
          <cell r="D741" t="str">
            <v>(L01)</v>
          </cell>
          <cell r="E741" t="str">
            <v>Jam</v>
          </cell>
        </row>
        <row r="742">
          <cell r="A742" t="str">
            <v>2.</v>
          </cell>
          <cell r="C742" t="str">
            <v>Mandor</v>
          </cell>
          <cell r="D742" t="str">
            <v>(L03)</v>
          </cell>
          <cell r="E742" t="str">
            <v>Jam</v>
          </cell>
        </row>
        <row r="745">
          <cell r="F745" t="str">
            <v xml:space="preserve">JUMLAH HARGA TENAGA   </v>
          </cell>
        </row>
        <row r="747">
          <cell r="A747" t="str">
            <v>B.</v>
          </cell>
          <cell r="C747" t="str">
            <v>BAHAN</v>
          </cell>
        </row>
        <row r="749">
          <cell r="A749" t="str">
            <v>1.</v>
          </cell>
          <cell r="C749" t="str">
            <v>Agregat Halus</v>
          </cell>
          <cell r="D749" t="str">
            <v>(M04)</v>
          </cell>
          <cell r="E749" t="str">
            <v>M3</v>
          </cell>
          <cell r="F749">
            <v>1.6500000000000001E-2</v>
          </cell>
        </row>
        <row r="755">
          <cell r="F755" t="str">
            <v xml:space="preserve">JUMLAH HARGA BAHAN   </v>
          </cell>
        </row>
        <row r="757">
          <cell r="A757" t="str">
            <v>C.</v>
          </cell>
          <cell r="C757" t="str">
            <v>PERALATAN</v>
          </cell>
        </row>
        <row r="759">
          <cell r="A759" t="str">
            <v>1.</v>
          </cell>
          <cell r="C759" t="str">
            <v>Wheel Loader</v>
          </cell>
          <cell r="D759" t="str">
            <v>(E15)</v>
          </cell>
          <cell r="E759" t="str">
            <v>Jam</v>
          </cell>
        </row>
        <row r="760">
          <cell r="A760" t="str">
            <v>2.</v>
          </cell>
          <cell r="C760" t="str">
            <v>Dump Truck</v>
          </cell>
          <cell r="D760" t="str">
            <v>(E09)</v>
          </cell>
          <cell r="E760" t="str">
            <v>Jam</v>
          </cell>
        </row>
        <row r="761">
          <cell r="A761" t="str">
            <v>3.</v>
          </cell>
          <cell r="C761" t="str">
            <v>P. Tyre Roller</v>
          </cell>
          <cell r="D761" t="str">
            <v>(E18)</v>
          </cell>
          <cell r="E761" t="str">
            <v>Jam</v>
          </cell>
        </row>
        <row r="762">
          <cell r="A762" t="str">
            <v>4.</v>
          </cell>
          <cell r="C762" t="str">
            <v>Alat Bantu</v>
          </cell>
          <cell r="E762" t="str">
            <v>Ls</v>
          </cell>
        </row>
        <row r="767">
          <cell r="F767" t="str">
            <v xml:space="preserve">JUMLAH HARGA PERALATAN   </v>
          </cell>
        </row>
        <row r="769">
          <cell r="A769" t="str">
            <v>D.</v>
          </cell>
          <cell r="C769" t="str">
            <v>JUMLAH HARGA TENAGA, BAHAN DAN PERALATAN  ( A + B + C )</v>
          </cell>
        </row>
        <row r="770">
          <cell r="A770" t="str">
            <v>E.</v>
          </cell>
          <cell r="C770" t="str">
            <v>OVERHEAD &amp; PROFIT</v>
          </cell>
          <cell r="E770">
            <v>10</v>
          </cell>
          <cell r="F770" t="str">
            <v>%  x  D</v>
          </cell>
        </row>
        <row r="771">
          <cell r="A771" t="str">
            <v>F.</v>
          </cell>
          <cell r="C771" t="str">
            <v>HARGA SATUAN PEKERJAAN  ( D + E )</v>
          </cell>
        </row>
        <row r="772">
          <cell r="A772" t="str">
            <v>Note: 1</v>
          </cell>
          <cell r="C772" t="str">
            <v>SATUAN dapat berdasarkan atas jam operasi untuk Tenaga Kerja dan Peralatan, volume dan/atau ukuran</v>
          </cell>
        </row>
        <row r="773">
          <cell r="C773" t="str">
            <v>berat untuk bahan-bahan.</v>
          </cell>
        </row>
        <row r="774">
          <cell r="A774">
            <v>2</v>
          </cell>
          <cell r="C774" t="str">
            <v>Kuantitas satuan adalah kuantitas setiap komponen untuk menyelesaikan satu satuan pekerjaan dari nomor</v>
          </cell>
        </row>
        <row r="775">
          <cell r="C775" t="str">
            <v>mata pembayaran.</v>
          </cell>
        </row>
        <row r="776">
          <cell r="A776">
            <v>3</v>
          </cell>
          <cell r="C776" t="str">
            <v>Biaya satuan untuk peralatan sudah termasuk bahan bakar, bahan habis dipakai dan operator.</v>
          </cell>
        </row>
        <row r="777">
          <cell r="A777">
            <v>4</v>
          </cell>
          <cell r="C777" t="str">
            <v>Biaya satuan sudah termasuk pengeluaran untuk seluruh pajak yang berkaitan (tetapi tidak termasuk PPN</v>
          </cell>
        </row>
        <row r="778">
          <cell r="C778" t="str">
            <v>yang dibayar dari kontrak) dan biaya-biaya lainnya.</v>
          </cell>
        </row>
        <row r="897">
          <cell r="I897" t="str">
            <v>Analisa EI-426</v>
          </cell>
        </row>
        <row r="899">
          <cell r="A899" t="str">
            <v>FORMULIR STANDAR UNTUK</v>
          </cell>
        </row>
        <row r="900">
          <cell r="A900" t="str">
            <v>PEREKAMAN ANALISA MASING-MASING HARGA SATUAN</v>
          </cell>
        </row>
        <row r="901">
          <cell r="A901">
            <v>0</v>
          </cell>
        </row>
        <row r="903">
          <cell r="A903" t="str">
            <v>Kegiatan</v>
          </cell>
          <cell r="D903" t="str">
            <v>: Pembangunan Jalan Dinas Bina Marga dan Cipta Karya Prov. NAD</v>
          </cell>
        </row>
        <row r="904">
          <cell r="A904" t="str">
            <v>Nama Paket</v>
          </cell>
          <cell r="D904" t="str">
            <v>: ………….………………………………..</v>
          </cell>
        </row>
        <row r="905">
          <cell r="A905" t="str">
            <v>Nomor Paket</v>
          </cell>
          <cell r="D905" t="str">
            <v>: ………….………………………………..</v>
          </cell>
        </row>
        <row r="906">
          <cell r="A906" t="str">
            <v>Tahun Anggaran</v>
          </cell>
          <cell r="D906" t="str">
            <v>: 2009</v>
          </cell>
        </row>
        <row r="907">
          <cell r="A907" t="str">
            <v>Prop / Kab / Kodya</v>
          </cell>
          <cell r="D907" t="str">
            <v>: ………….………………………………..</v>
          </cell>
        </row>
        <row r="908">
          <cell r="A908" t="str">
            <v>ITEM PEMBAYARAN NO.</v>
          </cell>
          <cell r="D908" t="str">
            <v>:  4.2 (6)</v>
          </cell>
          <cell r="G908" t="str">
            <v>PERKIRAAN VOL. PEK.</v>
          </cell>
          <cell r="I908" t="str">
            <v>:</v>
          </cell>
        </row>
        <row r="909">
          <cell r="A909" t="str">
            <v>JENIS PEKERJAAN</v>
          </cell>
          <cell r="D909" t="str">
            <v>:  Aspal Utk. Pekerjaan Pelaburan</v>
          </cell>
          <cell r="G909" t="str">
            <v>TOTAL HARGA (Rp.)</v>
          </cell>
          <cell r="I909" t="str">
            <v>:</v>
          </cell>
        </row>
        <row r="910">
          <cell r="A910" t="str">
            <v>SATUAN PEMBAYARAN</v>
          </cell>
          <cell r="D910" t="str">
            <v>:  LITER</v>
          </cell>
          <cell r="G910" t="str">
            <v>% THD. BIAYA PROYEK</v>
          </cell>
          <cell r="I910" t="str">
            <v>:</v>
          </cell>
        </row>
        <row r="913">
          <cell r="F913" t="str">
            <v>PERKIRAAN</v>
          </cell>
          <cell r="G913" t="str">
            <v>HARGA</v>
          </cell>
          <cell r="H913" t="str">
            <v>JUMLAH</v>
          </cell>
        </row>
        <row r="914">
          <cell r="A914" t="str">
            <v>NO.</v>
          </cell>
          <cell r="C914" t="str">
            <v>KOMPONEN</v>
          </cell>
          <cell r="E914" t="str">
            <v>SATUAN</v>
          </cell>
          <cell r="F914" t="str">
            <v>KUANTITAS</v>
          </cell>
          <cell r="G914" t="str">
            <v>SATUAN</v>
          </cell>
          <cell r="H914" t="str">
            <v>HARGA</v>
          </cell>
        </row>
        <row r="915">
          <cell r="G915" t="str">
            <v>(Rp.)</v>
          </cell>
          <cell r="H915" t="str">
            <v>(Rp.)</v>
          </cell>
        </row>
        <row r="918">
          <cell r="A918" t="str">
            <v>A.</v>
          </cell>
          <cell r="C918" t="str">
            <v>TENAGA</v>
          </cell>
        </row>
        <row r="920">
          <cell r="A920" t="str">
            <v>1.</v>
          </cell>
          <cell r="C920" t="str">
            <v>Pekerja</v>
          </cell>
          <cell r="D920" t="str">
            <v>(L01)</v>
          </cell>
          <cell r="E920" t="str">
            <v>Jam</v>
          </cell>
        </row>
        <row r="921">
          <cell r="A921" t="str">
            <v>2.</v>
          </cell>
          <cell r="C921" t="str">
            <v>Mandor</v>
          </cell>
          <cell r="D921" t="str">
            <v>(L03)</v>
          </cell>
          <cell r="E921" t="str">
            <v>Jam</v>
          </cell>
        </row>
        <row r="924">
          <cell r="F924" t="str">
            <v xml:space="preserve">JUMLAH HARGA TENAGA   </v>
          </cell>
        </row>
        <row r="926">
          <cell r="A926" t="str">
            <v>B.</v>
          </cell>
          <cell r="C926" t="str">
            <v>BAHAN</v>
          </cell>
        </row>
        <row r="927">
          <cell r="F927">
            <v>0</v>
          </cell>
        </row>
        <row r="928">
          <cell r="A928" t="str">
            <v>1.</v>
          </cell>
          <cell r="C928" t="str">
            <v>Aspal</v>
          </cell>
          <cell r="D928" t="str">
            <v>(M10)</v>
          </cell>
          <cell r="E928" t="str">
            <v>Kg</v>
          </cell>
          <cell r="F928">
            <v>1.1000000000000001</v>
          </cell>
        </row>
        <row r="929">
          <cell r="A929" t="str">
            <v>2.</v>
          </cell>
          <cell r="C929" t="str">
            <v>Minyak Tanah</v>
          </cell>
          <cell r="D929" t="str">
            <v>(M11)</v>
          </cell>
          <cell r="E929" t="str">
            <v>Liter</v>
          </cell>
          <cell r="F929">
            <v>5.2380952380952514E-2</v>
          </cell>
        </row>
        <row r="934">
          <cell r="F934" t="str">
            <v xml:space="preserve">JUMLAH HARGA BAHAN   </v>
          </cell>
        </row>
        <row r="936">
          <cell r="A936" t="str">
            <v>C.</v>
          </cell>
          <cell r="C936" t="str">
            <v>PERALATAN</v>
          </cell>
        </row>
        <row r="938">
          <cell r="A938" t="str">
            <v>1.</v>
          </cell>
          <cell r="C938" t="str">
            <v>Asphalt Sprayer  (E03)</v>
          </cell>
          <cell r="E938" t="str">
            <v>Jam</v>
          </cell>
        </row>
        <row r="939">
          <cell r="A939" t="str">
            <v>2.</v>
          </cell>
          <cell r="C939" t="str">
            <v>Air Compresor    (E05)</v>
          </cell>
          <cell r="E939" t="str">
            <v>Jam</v>
          </cell>
        </row>
        <row r="940">
          <cell r="A940" t="str">
            <v>3.</v>
          </cell>
          <cell r="C940" t="str">
            <v>Dump Truck</v>
          </cell>
          <cell r="D940" t="str">
            <v>(E08)</v>
          </cell>
          <cell r="E940" t="str">
            <v>Jam</v>
          </cell>
        </row>
        <row r="946">
          <cell r="F946" t="str">
            <v xml:space="preserve">JUMLAH HARGA PERALATAN   </v>
          </cell>
        </row>
        <row r="948">
          <cell r="A948" t="str">
            <v>D.</v>
          </cell>
          <cell r="C948" t="str">
            <v>JUMLAH HARGA TENAGA, BAHAN DAN PERALATAN  ( A + B + C )</v>
          </cell>
        </row>
        <row r="949">
          <cell r="A949" t="str">
            <v>E.</v>
          </cell>
          <cell r="C949" t="str">
            <v>OVERHEAD &amp; PROFIT</v>
          </cell>
          <cell r="E949">
            <v>10</v>
          </cell>
          <cell r="F949" t="str">
            <v>%  x  D</v>
          </cell>
        </row>
        <row r="950">
          <cell r="A950" t="str">
            <v>F.</v>
          </cell>
          <cell r="C950" t="str">
            <v>HARGA SATUAN PEKERJAAN  ( D + E ) DIBULATKAN</v>
          </cell>
        </row>
        <row r="951">
          <cell r="A951" t="str">
            <v>Note: 1</v>
          </cell>
          <cell r="C951" t="str">
            <v>SATUAN dapat berdasarkan atas jam operasi untuk Tenaga Kerja dan Peralatan, volume dan/atau ukuran</v>
          </cell>
        </row>
        <row r="952">
          <cell r="C952" t="str">
            <v>berat untuk bahan-bahan.</v>
          </cell>
        </row>
        <row r="953">
          <cell r="A953">
            <v>2</v>
          </cell>
          <cell r="C953" t="str">
            <v>Kuantitas satuan adalah kuantitas setiap komponen untuk menyelesaikan satu satuan pekerjaan dari nomor</v>
          </cell>
        </row>
        <row r="954">
          <cell r="C954" t="str">
            <v>mata pembayaran.</v>
          </cell>
        </row>
        <row r="955">
          <cell r="A955">
            <v>3</v>
          </cell>
          <cell r="C955" t="str">
            <v>Biaya satuan untuk peralatan sudah termasuk bahan bakar, bahan habis dipakai dan operator.</v>
          </cell>
        </row>
        <row r="956">
          <cell r="A956">
            <v>4</v>
          </cell>
          <cell r="C956" t="str">
            <v>Biaya satuan sudah termasuk pengeluaran untuk seluruh pajak yang berkaitan (tetapi tidak termasuk PPN</v>
          </cell>
        </row>
        <row r="957">
          <cell r="C957" t="str">
            <v>yang dibayar dari kontrak) dan biaya-biaya lainnya.</v>
          </cell>
        </row>
        <row r="1017">
          <cell r="I1017" t="str">
            <v>Analisa EI-427</v>
          </cell>
        </row>
        <row r="1019">
          <cell r="A1019" t="str">
            <v>FORMULIR STANDAR UNTUK</v>
          </cell>
        </row>
        <row r="1020">
          <cell r="A1020" t="str">
            <v>PEREKAMAN ANALISA MASING-MASING HARGA SATUAN</v>
          </cell>
        </row>
        <row r="1021">
          <cell r="A1021">
            <v>0</v>
          </cell>
        </row>
        <row r="1023">
          <cell r="A1023" t="str">
            <v>Kegiatan</v>
          </cell>
          <cell r="D1023" t="str">
            <v>: Pembangunan Jalan Dinas Bina Marga dan Cipta Karya Prov. NAD</v>
          </cell>
        </row>
        <row r="1024">
          <cell r="A1024" t="str">
            <v>Nama Paket</v>
          </cell>
          <cell r="D1024" t="str">
            <v>: ………….………………………………..</v>
          </cell>
        </row>
        <row r="1025">
          <cell r="A1025" t="str">
            <v>Nomor Paket</v>
          </cell>
          <cell r="D1025" t="str">
            <v>: ………….………………………………..</v>
          </cell>
        </row>
        <row r="1026">
          <cell r="A1026" t="str">
            <v>Tahun Anggaran</v>
          </cell>
          <cell r="D1026" t="str">
            <v>: 2009</v>
          </cell>
        </row>
        <row r="1027">
          <cell r="A1027" t="str">
            <v>Prop / Kab / Kodya</v>
          </cell>
          <cell r="D1027" t="str">
            <v>: ………….………………………………..</v>
          </cell>
        </row>
        <row r="1028">
          <cell r="A1028" t="str">
            <v>ITEM PEMBAYARAN NO.</v>
          </cell>
          <cell r="D1028" t="str">
            <v>:  4.2 (7)</v>
          </cell>
          <cell r="G1028" t="str">
            <v>PERKIRAAN VOL. PEK.</v>
          </cell>
          <cell r="I1028" t="str">
            <v>:</v>
          </cell>
        </row>
        <row r="1029">
          <cell r="A1029" t="str">
            <v>JENIS PEKERJAAN</v>
          </cell>
          <cell r="D1029" t="str">
            <v>:  Lapis Resap Pengikat</v>
          </cell>
          <cell r="G1029" t="str">
            <v>TOTAL HARGA (Rp.)</v>
          </cell>
          <cell r="I1029" t="str">
            <v>:</v>
          </cell>
        </row>
        <row r="1030">
          <cell r="A1030" t="str">
            <v>SATUAN PEMBAYARAN</v>
          </cell>
          <cell r="D1030" t="str">
            <v>:  LITER</v>
          </cell>
          <cell r="G1030" t="str">
            <v>% THD. BIAYA PROYEK</v>
          </cell>
          <cell r="I1030" t="str">
            <v>:</v>
          </cell>
        </row>
        <row r="1033">
          <cell r="F1033" t="str">
            <v>PERKIRAAN</v>
          </cell>
          <cell r="G1033" t="str">
            <v>HARGA</v>
          </cell>
          <cell r="H1033" t="str">
            <v>JUMLAH</v>
          </cell>
        </row>
        <row r="1034">
          <cell r="A1034" t="str">
            <v>NO.</v>
          </cell>
          <cell r="C1034" t="str">
            <v>KOMPONEN</v>
          </cell>
          <cell r="E1034" t="str">
            <v>SATUAN</v>
          </cell>
          <cell r="F1034" t="str">
            <v>KUANTITAS</v>
          </cell>
          <cell r="G1034" t="str">
            <v>SATUAN</v>
          </cell>
          <cell r="H1034" t="str">
            <v>HARGA</v>
          </cell>
        </row>
        <row r="1035">
          <cell r="G1035" t="str">
            <v>(Rp.)</v>
          </cell>
          <cell r="H1035" t="str">
            <v>(Rp.)</v>
          </cell>
        </row>
        <row r="1038">
          <cell r="A1038" t="str">
            <v>A.</v>
          </cell>
          <cell r="C1038" t="str">
            <v>TENAGA</v>
          </cell>
        </row>
        <row r="1040">
          <cell r="A1040" t="str">
            <v>1.</v>
          </cell>
          <cell r="C1040" t="str">
            <v>Pekerja</v>
          </cell>
          <cell r="D1040" t="str">
            <v>(L01)</v>
          </cell>
          <cell r="E1040" t="str">
            <v>Jam</v>
          </cell>
        </row>
        <row r="1041">
          <cell r="A1041" t="str">
            <v>2.</v>
          </cell>
          <cell r="C1041" t="str">
            <v>Mandor</v>
          </cell>
          <cell r="D1041" t="str">
            <v>(L03)</v>
          </cell>
          <cell r="E1041" t="str">
            <v>Jam</v>
          </cell>
        </row>
        <row r="1044">
          <cell r="F1044" t="str">
            <v xml:space="preserve">JUMLAH HARGA TENAGA   </v>
          </cell>
        </row>
        <row r="1046">
          <cell r="A1046" t="str">
            <v>B.</v>
          </cell>
          <cell r="C1046" t="str">
            <v>BAHAN</v>
          </cell>
        </row>
        <row r="1048">
          <cell r="A1048" t="str">
            <v>1.</v>
          </cell>
          <cell r="C1048" t="str">
            <v>Aspal</v>
          </cell>
          <cell r="D1048" t="str">
            <v>(M10)</v>
          </cell>
          <cell r="E1048" t="str">
            <v>Kg</v>
          </cell>
          <cell r="F1048">
            <v>0.63448000000000015</v>
          </cell>
        </row>
        <row r="1049">
          <cell r="A1049" t="str">
            <v>2.</v>
          </cell>
          <cell r="C1049" t="str">
            <v>Kerosene</v>
          </cell>
          <cell r="D1049" t="str">
            <v>(M11)</v>
          </cell>
          <cell r="E1049" t="str">
            <v>liter</v>
          </cell>
          <cell r="F1049">
            <v>0.48400000000000004</v>
          </cell>
        </row>
        <row r="1054">
          <cell r="F1054" t="str">
            <v xml:space="preserve">JUMLAH HARGA BAHAN   </v>
          </cell>
        </row>
        <row r="1056">
          <cell r="A1056" t="str">
            <v>C.</v>
          </cell>
          <cell r="C1056" t="str">
            <v>PERALATAN</v>
          </cell>
        </row>
        <row r="1058">
          <cell r="A1058" t="str">
            <v>1.</v>
          </cell>
          <cell r="C1058" t="str">
            <v>Asphalt Sprayer  (E03)</v>
          </cell>
          <cell r="E1058" t="str">
            <v>Jam</v>
          </cell>
        </row>
        <row r="1059">
          <cell r="A1059" t="str">
            <v>2.</v>
          </cell>
          <cell r="C1059" t="str">
            <v>Air Compresor    (E05)</v>
          </cell>
          <cell r="E1059" t="str">
            <v>Jam</v>
          </cell>
        </row>
        <row r="1060">
          <cell r="A1060" t="str">
            <v>3.</v>
          </cell>
          <cell r="C1060" t="str">
            <v>Dump Truck</v>
          </cell>
          <cell r="D1060" t="str">
            <v>(E08)</v>
          </cell>
          <cell r="E1060" t="str">
            <v>Jam</v>
          </cell>
        </row>
        <row r="1066">
          <cell r="F1066" t="str">
            <v xml:space="preserve">JUMLAH HARGA PERALATAN   </v>
          </cell>
        </row>
        <row r="1068">
          <cell r="A1068" t="str">
            <v>D.</v>
          </cell>
          <cell r="C1068" t="str">
            <v>JUMLAH HARGA TENAGA, BAHAN DAN PERALATAN  ( A + B + C )</v>
          </cell>
        </row>
        <row r="1069">
          <cell r="A1069" t="str">
            <v>E.</v>
          </cell>
          <cell r="C1069" t="str">
            <v>OVERHEAD &amp; PROFIT</v>
          </cell>
          <cell r="E1069">
            <v>10</v>
          </cell>
          <cell r="F1069" t="str">
            <v>%  x  D</v>
          </cell>
        </row>
        <row r="1070">
          <cell r="A1070" t="str">
            <v>F.</v>
          </cell>
          <cell r="C1070" t="str">
            <v>HARGA SATUAN PEKERJAAN  ( D + E ) DIBULATKAN</v>
          </cell>
        </row>
        <row r="1071">
          <cell r="A1071" t="str">
            <v>Note: 1</v>
          </cell>
          <cell r="C1071" t="str">
            <v>SATUAN dapat berdasarkan atas jam operasi untuk Tenaga Kerja dan Peralatan, volume dan/atau ukuran</v>
          </cell>
        </row>
        <row r="1072">
          <cell r="C1072" t="str">
            <v>berat untuk bahan-bahan.</v>
          </cell>
        </row>
        <row r="1073">
          <cell r="A1073">
            <v>2</v>
          </cell>
          <cell r="C1073" t="str">
            <v>Kuantitas satuan adalah kuantitas setiap komponen untuk menyelesaikan satu satuan pekerjaan dari nomor</v>
          </cell>
        </row>
        <row r="1074">
          <cell r="C1074" t="str">
            <v>mata pembayaran.</v>
          </cell>
        </row>
        <row r="1075">
          <cell r="A1075">
            <v>3</v>
          </cell>
          <cell r="C1075" t="str">
            <v>Biaya satuan untuk peralatan sudah termasuk bahan bakar, bahan habis dipakai dan operator.</v>
          </cell>
        </row>
        <row r="1076">
          <cell r="A1076">
            <v>4</v>
          </cell>
          <cell r="C1076" t="str">
            <v>Biaya satuan sudah termasuk pengeluaran untuk seluruh pajak yang berkaitan (tetapi tidak termasuk PPN</v>
          </cell>
        </row>
        <row r="1077">
          <cell r="C1077" t="str">
            <v>yang dibayar dari kontrak) dan biaya-biaya lainnya.</v>
          </cell>
        </row>
      </sheetData>
      <sheetData sheetId="11">
        <row r="1">
          <cell r="I1" t="str">
            <v>Analisa EI-511</v>
          </cell>
        </row>
        <row r="3">
          <cell r="A3" t="str">
            <v>FORMULIR STANDAR UNTUK</v>
          </cell>
        </row>
        <row r="4">
          <cell r="A4" t="str">
            <v>PEREKAMAN ANALISA MASING-MASING HARGA SATUAN</v>
          </cell>
        </row>
        <row r="5">
          <cell r="A5">
            <v>0</v>
          </cell>
        </row>
        <row r="7">
          <cell r="A7" t="str">
            <v>Kegiatan</v>
          </cell>
          <cell r="D7" t="str">
            <v>: Pembangunan Jalan Dinas Bina Marga dan Cipta Karya Prov. NAD</v>
          </cell>
        </row>
        <row r="8">
          <cell r="A8" t="str">
            <v>Nama Paket</v>
          </cell>
          <cell r="D8" t="str">
            <v>: ………….………………………………..</v>
          </cell>
        </row>
        <row r="9">
          <cell r="A9" t="str">
            <v>Nomor Paket</v>
          </cell>
          <cell r="D9" t="str">
            <v>: ………….………………………………..</v>
          </cell>
        </row>
        <row r="10">
          <cell r="A10" t="str">
            <v>Tahun Anggaran</v>
          </cell>
          <cell r="D10" t="str">
            <v>: 2009</v>
          </cell>
        </row>
        <row r="11">
          <cell r="A11" t="str">
            <v>Prop / Kab / Kodya</v>
          </cell>
          <cell r="D11" t="str">
            <v>: ………….………………………………..</v>
          </cell>
        </row>
        <row r="12">
          <cell r="A12" t="str">
            <v>ITEM PEMBAYARAN NO.</v>
          </cell>
          <cell r="D12" t="str">
            <v>:  5.1 (1)</v>
          </cell>
          <cell r="G12" t="str">
            <v>PERKIRAAN VOL. PEK.</v>
          </cell>
          <cell r="I12" t="str">
            <v>:</v>
          </cell>
        </row>
        <row r="13">
          <cell r="A13" t="str">
            <v>JENIS PEKERJAAN</v>
          </cell>
          <cell r="D13" t="str">
            <v>:  Lps. Pond. Ag. Kls. A</v>
          </cell>
          <cell r="G13" t="str">
            <v>TOTAL HARGA</v>
          </cell>
          <cell r="I13" t="str">
            <v>:</v>
          </cell>
        </row>
        <row r="14">
          <cell r="A14" t="str">
            <v>SATUAN PEMBAYARAN</v>
          </cell>
          <cell r="D14" t="str">
            <v>:  M3</v>
          </cell>
          <cell r="G14" t="str">
            <v>% THD. BIAYA PROYEK</v>
          </cell>
          <cell r="I14" t="str">
            <v>:</v>
          </cell>
        </row>
        <row r="17">
          <cell r="F17" t="str">
            <v>PERKIRAAN</v>
          </cell>
          <cell r="G17" t="str">
            <v>HARGA</v>
          </cell>
          <cell r="H17" t="str">
            <v>JUMLAH</v>
          </cell>
        </row>
        <row r="18">
          <cell r="A18" t="str">
            <v>NO.</v>
          </cell>
          <cell r="C18" t="str">
            <v>KOMPONEN</v>
          </cell>
          <cell r="E18" t="str">
            <v>SATUAN</v>
          </cell>
          <cell r="F18" t="str">
            <v>KUANTITAS</v>
          </cell>
          <cell r="G18" t="str">
            <v>SATUAN</v>
          </cell>
          <cell r="H18" t="str">
            <v>HARGA</v>
          </cell>
        </row>
        <row r="19">
          <cell r="G19" t="str">
            <v>(Rp.)</v>
          </cell>
          <cell r="H19" t="str">
            <v>(Rp.)</v>
          </cell>
        </row>
        <row r="22">
          <cell r="A22" t="str">
            <v>A.</v>
          </cell>
          <cell r="C22" t="str">
            <v>TENAGA</v>
          </cell>
        </row>
        <row r="24">
          <cell r="A24" t="str">
            <v>1.</v>
          </cell>
          <cell r="C24" t="str">
            <v>Pekerja</v>
          </cell>
          <cell r="D24" t="str">
            <v>(L01)</v>
          </cell>
          <cell r="E24" t="str">
            <v>jam</v>
          </cell>
        </row>
        <row r="25">
          <cell r="A25" t="str">
            <v>2.</v>
          </cell>
          <cell r="C25" t="str">
            <v>Mandor</v>
          </cell>
          <cell r="D25" t="str">
            <v>(L03)</v>
          </cell>
          <cell r="E25" t="str">
            <v>jam</v>
          </cell>
        </row>
        <row r="28">
          <cell r="F28" t="str">
            <v xml:space="preserve">JUMLAH HARGA TENAGA   </v>
          </cell>
        </row>
        <row r="30">
          <cell r="A30" t="str">
            <v>B.</v>
          </cell>
          <cell r="C30" t="str">
            <v>BAHAN</v>
          </cell>
        </row>
        <row r="32">
          <cell r="A32" t="str">
            <v>1.</v>
          </cell>
          <cell r="C32" t="str">
            <v>Agregat Kasar   (M03)</v>
          </cell>
          <cell r="E32" t="str">
            <v>M3</v>
          </cell>
          <cell r="F32">
            <v>0.66</v>
          </cell>
        </row>
        <row r="33">
          <cell r="A33" t="str">
            <v>2.</v>
          </cell>
          <cell r="C33" t="str">
            <v>Agregat Halus    (M04)</v>
          </cell>
          <cell r="E33" t="str">
            <v>M3</v>
          </cell>
          <cell r="F33">
            <v>0.54</v>
          </cell>
        </row>
        <row r="38">
          <cell r="F38" t="str">
            <v xml:space="preserve">JUMLAH HARGA BAHAN   </v>
          </cell>
        </row>
        <row r="40">
          <cell r="A40" t="str">
            <v>C.</v>
          </cell>
          <cell r="C40" t="str">
            <v>PERALATAN</v>
          </cell>
        </row>
        <row r="41">
          <cell r="A41" t="str">
            <v>1.</v>
          </cell>
          <cell r="C41" t="str">
            <v>Wheel Loader</v>
          </cell>
          <cell r="D41" t="str">
            <v>(E15)</v>
          </cell>
          <cell r="E41" t="str">
            <v>jam</v>
          </cell>
        </row>
        <row r="42">
          <cell r="A42" t="str">
            <v>2.</v>
          </cell>
          <cell r="C42" t="str">
            <v>Dump Truck</v>
          </cell>
          <cell r="D42" t="str">
            <v>(E09)</v>
          </cell>
          <cell r="E42" t="str">
            <v>jam</v>
          </cell>
        </row>
        <row r="43">
          <cell r="A43" t="str">
            <v>3.</v>
          </cell>
          <cell r="C43" t="str">
            <v>Motor Grader</v>
          </cell>
          <cell r="D43" t="str">
            <v>(E13)</v>
          </cell>
          <cell r="E43" t="str">
            <v>jam</v>
          </cell>
        </row>
        <row r="44">
          <cell r="A44" t="str">
            <v>4.</v>
          </cell>
          <cell r="C44" t="str">
            <v>Vibratory Roller</v>
          </cell>
          <cell r="D44" t="str">
            <v>(E19)</v>
          </cell>
          <cell r="E44" t="str">
            <v>jam</v>
          </cell>
        </row>
        <row r="45">
          <cell r="A45" t="str">
            <v>5.</v>
          </cell>
          <cell r="C45" t="str">
            <v>P. Tyre Roller</v>
          </cell>
          <cell r="D45" t="str">
            <v>(E18)</v>
          </cell>
          <cell r="E45" t="str">
            <v>jam</v>
          </cell>
        </row>
        <row r="46">
          <cell r="A46" t="str">
            <v>6.</v>
          </cell>
          <cell r="C46" t="str">
            <v>Water Tanker</v>
          </cell>
          <cell r="D46" t="str">
            <v>(E23)</v>
          </cell>
          <cell r="E46" t="str">
            <v>jam</v>
          </cell>
        </row>
        <row r="47">
          <cell r="A47" t="str">
            <v>7.</v>
          </cell>
          <cell r="C47" t="str">
            <v>Alat Bantu</v>
          </cell>
          <cell r="E47" t="str">
            <v>Ls</v>
          </cell>
        </row>
        <row r="49">
          <cell r="F49" t="str">
            <v xml:space="preserve">JUMLAH HARGA PERALATAN   </v>
          </cell>
        </row>
        <row r="51">
          <cell r="A51" t="str">
            <v>D.</v>
          </cell>
          <cell r="C51" t="str">
            <v>JUMLAH HARGA TENAGA, BAHAN DAN PERALATAN  ( A + B + C )</v>
          </cell>
        </row>
        <row r="52">
          <cell r="A52" t="str">
            <v>E.</v>
          </cell>
          <cell r="C52" t="str">
            <v>OVERHEAD &amp; PROFIT</v>
          </cell>
          <cell r="E52">
            <v>10</v>
          </cell>
          <cell r="F52" t="str">
            <v>%  x  D</v>
          </cell>
        </row>
        <row r="53">
          <cell r="A53" t="str">
            <v>F.</v>
          </cell>
          <cell r="C53" t="str">
            <v>HARGA SATUAN PEKERJAAN  ( D + E ) DIBULATKAN</v>
          </cell>
        </row>
        <row r="54">
          <cell r="A54" t="str">
            <v>Note: 1</v>
          </cell>
          <cell r="C54" t="str">
            <v>SATUAN dapat berdasarkan atas jam operasi untuk Tenaga Kerja dan Peralatan, volume dan/atau ukuran</v>
          </cell>
        </row>
        <row r="55">
          <cell r="C55" t="str">
            <v>berat untuk bahan-bahan.</v>
          </cell>
        </row>
        <row r="56">
          <cell r="A56">
            <v>2</v>
          </cell>
          <cell r="C56" t="str">
            <v>Kuantitas satuan adalah kuantitas setiap komponen untuk menyelesaikan satu satuan pekerjaan dari nomor</v>
          </cell>
        </row>
        <row r="57">
          <cell r="C57" t="str">
            <v>mata pembayaran.</v>
          </cell>
        </row>
        <row r="58">
          <cell r="A58">
            <v>3</v>
          </cell>
          <cell r="C58" t="str">
            <v>Biaya satuan untuk peralatan sudah termasuk bahan bakar, bahan habis dipakai dan operator.</v>
          </cell>
        </row>
        <row r="59">
          <cell r="A59">
            <v>4</v>
          </cell>
          <cell r="C59" t="str">
            <v>Biaya satuan sudah termasuk pengeluaran untuk seluruh pajak yang berkaitan (tetapi tidak termasuk PPN</v>
          </cell>
        </row>
        <row r="60">
          <cell r="C60" t="str">
            <v>yang dibayar dari kontrak) dan biaya-biaya lainnya.</v>
          </cell>
        </row>
        <row r="180">
          <cell r="I180" t="str">
            <v>Analisa EI-512</v>
          </cell>
        </row>
        <row r="182">
          <cell r="A182" t="str">
            <v>FORMULIR STANDAR UNTUK</v>
          </cell>
        </row>
        <row r="183">
          <cell r="A183" t="str">
            <v>PEREKAMAN ANALISA MASING-MASING HARGA SATUAN</v>
          </cell>
        </row>
        <row r="184">
          <cell r="A184">
            <v>0</v>
          </cell>
        </row>
        <row r="186">
          <cell r="A186" t="str">
            <v>Kegiatan</v>
          </cell>
          <cell r="D186" t="str">
            <v>: Pembangunan Jalan Dinas Bina Marga dan Cipta Karya Prov. NAD</v>
          </cell>
        </row>
        <row r="187">
          <cell r="A187" t="str">
            <v>Nama Paket</v>
          </cell>
          <cell r="D187" t="str">
            <v>: ………….………………………………..</v>
          </cell>
        </row>
        <row r="188">
          <cell r="A188" t="str">
            <v>Nomor Paket</v>
          </cell>
          <cell r="D188" t="str">
            <v>: ………….………………………………..</v>
          </cell>
        </row>
        <row r="189">
          <cell r="A189" t="str">
            <v>Tahun Anggaran</v>
          </cell>
          <cell r="D189" t="str">
            <v>: 2009</v>
          </cell>
        </row>
        <row r="190">
          <cell r="A190" t="str">
            <v>Prop / Kab / Kodya</v>
          </cell>
          <cell r="D190" t="str">
            <v>: ………….………………………………..</v>
          </cell>
        </row>
        <row r="191">
          <cell r="A191" t="str">
            <v>ITEM PEMBAYARAN NO.</v>
          </cell>
          <cell r="D191" t="str">
            <v>:  5.1 (2)</v>
          </cell>
          <cell r="G191" t="str">
            <v>PERKIRAAN VOL. PEK.</v>
          </cell>
          <cell r="I191" t="str">
            <v>:</v>
          </cell>
        </row>
        <row r="192">
          <cell r="A192" t="str">
            <v>JENIS PEKERJAAN</v>
          </cell>
          <cell r="D192" t="str">
            <v>:  Lps. Pond. Ag. Kls. B</v>
          </cell>
          <cell r="G192" t="str">
            <v>TOTAL HARGA</v>
          </cell>
          <cell r="I192" t="str">
            <v>:</v>
          </cell>
        </row>
        <row r="193">
          <cell r="A193" t="str">
            <v>SATUAN PEMBAYARAN</v>
          </cell>
          <cell r="D193" t="str">
            <v>:  M3</v>
          </cell>
          <cell r="G193" t="str">
            <v>% THD. BIAYA PROYEK</v>
          </cell>
          <cell r="I193" t="str">
            <v>:</v>
          </cell>
        </row>
        <row r="196">
          <cell r="F196" t="str">
            <v>PERKIRAAN</v>
          </cell>
          <cell r="G196" t="str">
            <v>HARGA</v>
          </cell>
          <cell r="H196" t="str">
            <v>JUMLAH</v>
          </cell>
        </row>
        <row r="197">
          <cell r="A197" t="str">
            <v>NO.</v>
          </cell>
          <cell r="C197" t="str">
            <v>KOMPONEN</v>
          </cell>
          <cell r="E197" t="str">
            <v>SATUAN</v>
          </cell>
          <cell r="F197" t="str">
            <v>KUANTITAS</v>
          </cell>
          <cell r="G197" t="str">
            <v>SATUAN</v>
          </cell>
          <cell r="H197" t="str">
            <v>HARGA</v>
          </cell>
        </row>
        <row r="198">
          <cell r="G198" t="str">
            <v>(Rp.)</v>
          </cell>
          <cell r="H198" t="str">
            <v>(Rp.)</v>
          </cell>
        </row>
        <row r="201">
          <cell r="A201" t="str">
            <v>A.</v>
          </cell>
          <cell r="C201" t="str">
            <v>TENAGA</v>
          </cell>
        </row>
        <row r="203">
          <cell r="A203" t="str">
            <v>1.</v>
          </cell>
          <cell r="C203" t="str">
            <v>Pekerja</v>
          </cell>
          <cell r="D203" t="str">
            <v>(L01)</v>
          </cell>
          <cell r="E203" t="str">
            <v>jam</v>
          </cell>
        </row>
        <row r="204">
          <cell r="A204" t="str">
            <v>2.</v>
          </cell>
          <cell r="C204" t="str">
            <v>Mandor</v>
          </cell>
          <cell r="D204" t="str">
            <v>(L03)</v>
          </cell>
          <cell r="E204" t="str">
            <v>jam</v>
          </cell>
        </row>
        <row r="207">
          <cell r="F207" t="str">
            <v xml:space="preserve">JUMLAH HARGA TENAGA   </v>
          </cell>
        </row>
        <row r="209">
          <cell r="A209" t="str">
            <v>B.</v>
          </cell>
          <cell r="C209" t="str">
            <v>BAHAN</v>
          </cell>
        </row>
        <row r="211">
          <cell r="A211" t="str">
            <v>1.</v>
          </cell>
          <cell r="C211" t="str">
            <v>Agregat Kasar   (M03)</v>
          </cell>
          <cell r="E211" t="str">
            <v>M3</v>
          </cell>
          <cell r="F211">
            <v>0.42</v>
          </cell>
        </row>
        <row r="212">
          <cell r="A212" t="str">
            <v>2.</v>
          </cell>
          <cell r="C212" t="str">
            <v>Agregat Halus    (M04)</v>
          </cell>
          <cell r="E212" t="str">
            <v>M3</v>
          </cell>
          <cell r="F212">
            <v>0.24</v>
          </cell>
        </row>
        <row r="213">
          <cell r="A213" t="str">
            <v>3.</v>
          </cell>
          <cell r="C213" t="str">
            <v>Sirtu</v>
          </cell>
          <cell r="D213" t="str">
            <v>(M16)</v>
          </cell>
          <cell r="E213" t="str">
            <v>M3</v>
          </cell>
          <cell r="F213">
            <v>0.54</v>
          </cell>
        </row>
        <row r="217">
          <cell r="F217" t="str">
            <v xml:space="preserve">JUMLAH HARGA BAHAN   </v>
          </cell>
        </row>
        <row r="219">
          <cell r="A219" t="str">
            <v>C.</v>
          </cell>
          <cell r="C219" t="str">
            <v>PERALATAN</v>
          </cell>
        </row>
        <row r="220">
          <cell r="A220" t="str">
            <v>1.</v>
          </cell>
          <cell r="C220" t="str">
            <v>Wheel Loader</v>
          </cell>
          <cell r="D220" t="str">
            <v>(E15)</v>
          </cell>
          <cell r="E220" t="str">
            <v>jam</v>
          </cell>
        </row>
        <row r="221">
          <cell r="A221" t="str">
            <v>2.</v>
          </cell>
          <cell r="C221" t="str">
            <v>Dump Truck</v>
          </cell>
          <cell r="D221" t="str">
            <v>(E09)</v>
          </cell>
          <cell r="E221" t="str">
            <v>jam</v>
          </cell>
        </row>
        <row r="222">
          <cell r="A222" t="str">
            <v>3.</v>
          </cell>
          <cell r="C222" t="str">
            <v>Motor Grader</v>
          </cell>
          <cell r="D222" t="str">
            <v>(E13)</v>
          </cell>
          <cell r="E222" t="str">
            <v>jam</v>
          </cell>
        </row>
        <row r="223">
          <cell r="A223" t="str">
            <v>4.</v>
          </cell>
          <cell r="C223" t="str">
            <v>Vibratory Roller</v>
          </cell>
          <cell r="D223" t="str">
            <v>(E19)</v>
          </cell>
          <cell r="E223" t="str">
            <v>jam</v>
          </cell>
        </row>
        <row r="224">
          <cell r="A224" t="str">
            <v>5.</v>
          </cell>
          <cell r="C224" t="str">
            <v>P. Tyre Roller</v>
          </cell>
          <cell r="D224" t="str">
            <v>(E18)</v>
          </cell>
          <cell r="E224" t="str">
            <v>jam</v>
          </cell>
        </row>
        <row r="225">
          <cell r="A225" t="str">
            <v>6.</v>
          </cell>
          <cell r="C225" t="str">
            <v>Water Tanker</v>
          </cell>
          <cell r="D225" t="str">
            <v>(E23)</v>
          </cell>
          <cell r="E225" t="str">
            <v>jam</v>
          </cell>
        </row>
        <row r="226">
          <cell r="A226" t="str">
            <v>7.</v>
          </cell>
          <cell r="C226" t="str">
            <v>Alat Bantu</v>
          </cell>
          <cell r="E226" t="str">
            <v>Ls</v>
          </cell>
        </row>
        <row r="228">
          <cell r="F228" t="str">
            <v xml:space="preserve">JUMLAH HARGA PERALATAN   </v>
          </cell>
        </row>
        <row r="230">
          <cell r="A230" t="str">
            <v>D.</v>
          </cell>
          <cell r="C230" t="str">
            <v>JUMLAH HARGA TENAGA, BAHAN DAN PERALATAN  ( A + B + C )</v>
          </cell>
        </row>
        <row r="231">
          <cell r="A231" t="str">
            <v>E.</v>
          </cell>
          <cell r="C231" t="str">
            <v>OVERHEAD &amp; PROFIT</v>
          </cell>
          <cell r="E231">
            <v>10</v>
          </cell>
          <cell r="F231" t="str">
            <v>%  x  D</v>
          </cell>
        </row>
        <row r="232">
          <cell r="A232" t="str">
            <v>F.</v>
          </cell>
          <cell r="C232" t="str">
            <v>HARGA SATUAN PEKERJAAN  ( D + E ) DIBULATKAN</v>
          </cell>
        </row>
        <row r="233">
          <cell r="A233" t="str">
            <v>Note: 1</v>
          </cell>
          <cell r="C233" t="str">
            <v>SATUAN dapat berdasarkan atas jam operasi untuk Tenaga Kerja dan Peralatan, volume dan/atau ukuran</v>
          </cell>
        </row>
        <row r="234">
          <cell r="C234" t="str">
            <v>berat untuk bahan-bahan.</v>
          </cell>
        </row>
        <row r="235">
          <cell r="A235">
            <v>2</v>
          </cell>
          <cell r="C235" t="str">
            <v>Kuantitas satuan adalah kuantitas setiap komponen untuk menyelesaikan satu satuan pekerjaan dari nomor</v>
          </cell>
        </row>
        <row r="236">
          <cell r="C236" t="str">
            <v>mata pembayaran.</v>
          </cell>
        </row>
        <row r="237">
          <cell r="A237">
            <v>3</v>
          </cell>
          <cell r="C237" t="str">
            <v>Biaya satuan untuk peralatan sudah termasuk bahan bakar, bahan habis dipakai dan operator.</v>
          </cell>
        </row>
        <row r="238">
          <cell r="A238">
            <v>4</v>
          </cell>
          <cell r="C238" t="str">
            <v>Biaya satuan sudah termasuk pengeluaran untuk seluruh pajak yang berkaitan (tetapi tidak termasuk PPN</v>
          </cell>
        </row>
        <row r="239">
          <cell r="C239" t="str">
            <v>yang dibayar dari kontrak) dan biaya-biaya lainnya.</v>
          </cell>
        </row>
        <row r="359">
          <cell r="I359" t="str">
            <v>Analisa EI-521</v>
          </cell>
        </row>
        <row r="361">
          <cell r="A361" t="str">
            <v>FORMULIR STANDAR UNTUK</v>
          </cell>
        </row>
        <row r="362">
          <cell r="A362" t="str">
            <v>PEREKAMAN ANALISA MASING-MASING HARGA SATUAN</v>
          </cell>
        </row>
        <row r="363">
          <cell r="A363">
            <v>0</v>
          </cell>
        </row>
        <row r="365">
          <cell r="A365" t="str">
            <v>Kegiatan</v>
          </cell>
          <cell r="D365" t="str">
            <v>: Pembangunan Jalan Dinas Bina Marga dan Cipta Karya Prov. NAD</v>
          </cell>
        </row>
        <row r="366">
          <cell r="A366" t="str">
            <v>Nama Paket</v>
          </cell>
          <cell r="D366" t="str">
            <v>: ………….………………………………..</v>
          </cell>
        </row>
        <row r="367">
          <cell r="A367" t="str">
            <v>Nomor Paket</v>
          </cell>
          <cell r="D367" t="str">
            <v>: ………….………………………………..</v>
          </cell>
        </row>
        <row r="368">
          <cell r="A368" t="str">
            <v>Tahun Anggaran</v>
          </cell>
          <cell r="D368" t="str">
            <v>: 2009</v>
          </cell>
        </row>
        <row r="369">
          <cell r="A369" t="str">
            <v>Prop / Kab / Kodya</v>
          </cell>
          <cell r="D369" t="str">
            <v>: ………….………………………………..</v>
          </cell>
        </row>
        <row r="370">
          <cell r="A370" t="str">
            <v>ITEM PEMBAYARAN NO.</v>
          </cell>
          <cell r="D370" t="str">
            <v>:  5.2 (1)</v>
          </cell>
          <cell r="G370" t="str">
            <v>PERKIRAAN VOL. PEK.</v>
          </cell>
          <cell r="I370" t="str">
            <v>:</v>
          </cell>
        </row>
        <row r="371">
          <cell r="A371" t="str">
            <v>JENIS PEKERJAAN</v>
          </cell>
          <cell r="D371" t="str">
            <v>:  Lapis Pondasi Agregat Kelas C</v>
          </cell>
          <cell r="G371" t="str">
            <v>TOTAL HARGA</v>
          </cell>
          <cell r="I371" t="str">
            <v>:</v>
          </cell>
        </row>
        <row r="372">
          <cell r="A372" t="str">
            <v>SATUAN PEMBAYARAN</v>
          </cell>
          <cell r="D372" t="str">
            <v>:  M3</v>
          </cell>
          <cell r="G372" t="str">
            <v>% THD. BIAYA PROYEK</v>
          </cell>
          <cell r="I372" t="str">
            <v>:</v>
          </cell>
        </row>
        <row r="375">
          <cell r="F375" t="str">
            <v>PERKIRAAN</v>
          </cell>
          <cell r="G375" t="str">
            <v>HARGA</v>
          </cell>
          <cell r="H375" t="str">
            <v>JUMLAH</v>
          </cell>
        </row>
        <row r="376">
          <cell r="A376" t="str">
            <v>NO.</v>
          </cell>
          <cell r="C376" t="str">
            <v>KOMPONEN</v>
          </cell>
          <cell r="E376" t="str">
            <v>SATUAN</v>
          </cell>
          <cell r="F376" t="str">
            <v>KUANTITAS</v>
          </cell>
          <cell r="G376" t="str">
            <v>SATUAN</v>
          </cell>
          <cell r="H376" t="str">
            <v>HARGA</v>
          </cell>
        </row>
        <row r="377">
          <cell r="G377" t="str">
            <v>(Rp.)</v>
          </cell>
          <cell r="H377" t="str">
            <v>(Rp.)</v>
          </cell>
        </row>
        <row r="380">
          <cell r="A380" t="str">
            <v>A.</v>
          </cell>
          <cell r="C380" t="str">
            <v>TENAGA</v>
          </cell>
        </row>
        <row r="382">
          <cell r="A382" t="str">
            <v>1.</v>
          </cell>
          <cell r="C382" t="str">
            <v>Pekerja</v>
          </cell>
          <cell r="D382" t="str">
            <v>(L01)</v>
          </cell>
          <cell r="E382" t="str">
            <v>Jam</v>
          </cell>
        </row>
        <row r="383">
          <cell r="A383" t="str">
            <v>2.</v>
          </cell>
          <cell r="C383" t="str">
            <v>Mandor</v>
          </cell>
          <cell r="D383" t="str">
            <v>(L03)</v>
          </cell>
          <cell r="E383" t="str">
            <v>Jam</v>
          </cell>
        </row>
        <row r="386">
          <cell r="F386" t="str">
            <v xml:space="preserve">JUMLAH HARGA TENAGA   </v>
          </cell>
        </row>
        <row r="388">
          <cell r="A388" t="str">
            <v>B.</v>
          </cell>
          <cell r="C388" t="str">
            <v>BAHAN</v>
          </cell>
        </row>
        <row r="390">
          <cell r="A390" t="str">
            <v>1.</v>
          </cell>
          <cell r="C390" t="str">
            <v>Agregat Kelas C1 (M28)</v>
          </cell>
          <cell r="E390" t="str">
            <v>M3</v>
          </cell>
          <cell r="F390">
            <v>1.2</v>
          </cell>
        </row>
        <row r="396">
          <cell r="F396" t="str">
            <v xml:space="preserve">JUMLAH HARGA BAHAN   </v>
          </cell>
        </row>
        <row r="398">
          <cell r="A398" t="str">
            <v>C.</v>
          </cell>
          <cell r="C398" t="str">
            <v>PERALATAN</v>
          </cell>
        </row>
        <row r="400">
          <cell r="A400" t="str">
            <v>1.</v>
          </cell>
          <cell r="C400" t="str">
            <v>Wheel Loader</v>
          </cell>
          <cell r="D400" t="str">
            <v>(E15)</v>
          </cell>
          <cell r="E400" t="str">
            <v>Jam</v>
          </cell>
        </row>
        <row r="401">
          <cell r="A401" t="str">
            <v>2.</v>
          </cell>
          <cell r="C401" t="str">
            <v>Dump Truck</v>
          </cell>
          <cell r="D401" t="str">
            <v>(E08)</v>
          </cell>
          <cell r="E401" t="str">
            <v>Jam</v>
          </cell>
        </row>
        <row r="402">
          <cell r="A402" t="str">
            <v>3.</v>
          </cell>
          <cell r="C402" t="str">
            <v>Motor Grader</v>
          </cell>
          <cell r="D402" t="str">
            <v>(E13)</v>
          </cell>
          <cell r="E402" t="str">
            <v>Jam</v>
          </cell>
        </row>
        <row r="403">
          <cell r="A403" t="str">
            <v>4.</v>
          </cell>
          <cell r="C403" t="str">
            <v>Vibratory Roller</v>
          </cell>
          <cell r="D403" t="str">
            <v>(E19)</v>
          </cell>
          <cell r="E403" t="str">
            <v>Jam</v>
          </cell>
        </row>
        <row r="404">
          <cell r="A404" t="str">
            <v>5.</v>
          </cell>
          <cell r="C404" t="str">
            <v>P. Tyre Roller</v>
          </cell>
          <cell r="D404" t="str">
            <v>(E18)</v>
          </cell>
          <cell r="E404" t="str">
            <v>Jam</v>
          </cell>
        </row>
        <row r="405">
          <cell r="A405" t="str">
            <v>6.</v>
          </cell>
          <cell r="C405" t="str">
            <v>Water Tanker</v>
          </cell>
          <cell r="D405" t="str">
            <v>(E23)</v>
          </cell>
          <cell r="E405" t="str">
            <v>Jam</v>
          </cell>
        </row>
        <row r="406">
          <cell r="A406" t="str">
            <v>7.</v>
          </cell>
          <cell r="C406" t="str">
            <v>Alat Bantu</v>
          </cell>
          <cell r="E406" t="str">
            <v>Ls</v>
          </cell>
        </row>
        <row r="408">
          <cell r="F408" t="str">
            <v xml:space="preserve">JUMLAH HARGA PERALATAN   </v>
          </cell>
        </row>
        <row r="410">
          <cell r="A410" t="str">
            <v>D.</v>
          </cell>
          <cell r="C410" t="str">
            <v>JUMLAH HARGA TENAGA, BAHAN DAN PERALATAN  ( A + B + C )</v>
          </cell>
        </row>
        <row r="411">
          <cell r="A411" t="str">
            <v>E.</v>
          </cell>
          <cell r="C411" t="str">
            <v>OVERHEAD &amp; PROFIT</v>
          </cell>
          <cell r="E411">
            <v>10</v>
          </cell>
          <cell r="F411" t="str">
            <v>%  x  D</v>
          </cell>
        </row>
        <row r="412">
          <cell r="A412" t="str">
            <v>F.</v>
          </cell>
          <cell r="C412" t="str">
            <v>HARGA SATUAN PEKERJAAN  ( D + E ) DIBULATKAN</v>
          </cell>
        </row>
        <row r="413">
          <cell r="A413" t="str">
            <v>Note: 1</v>
          </cell>
          <cell r="C413" t="str">
            <v>SATUAN dapat berdasarkan atas jam operasi untuk Tenaga Kerja dan Peralatan, volume dan/atau ukuran</v>
          </cell>
        </row>
        <row r="414">
          <cell r="C414" t="str">
            <v>berat untuk bahan-bahan.</v>
          </cell>
        </row>
        <row r="415">
          <cell r="A415">
            <v>2</v>
          </cell>
          <cell r="C415" t="str">
            <v>Kuantitas satuan adalah kuantitas setiap komponen untuk menyelesaikan satu satuan pekerjaan dari nomor</v>
          </cell>
        </row>
        <row r="416">
          <cell r="C416" t="str">
            <v>mata pembayaran.</v>
          </cell>
        </row>
        <row r="417">
          <cell r="A417">
            <v>3</v>
          </cell>
          <cell r="C417" t="str">
            <v>Biaya satuan untuk peralatan sudah termasuk bahan bakar, bahan habis dipakai dan operator.</v>
          </cell>
        </row>
        <row r="418">
          <cell r="A418">
            <v>4</v>
          </cell>
          <cell r="C418" t="str">
            <v>Biaya satuan sudah termasuk pengeluaran untuk seluruh pajak yang berkaitan (tetapi tidak termasuk PPN</v>
          </cell>
        </row>
        <row r="419">
          <cell r="C419" t="str">
            <v>yang dibayar dari kontrak) dan biaya-biaya lainnya.</v>
          </cell>
        </row>
        <row r="538">
          <cell r="I538" t="str">
            <v>Analisa EI-522</v>
          </cell>
        </row>
        <row r="540">
          <cell r="A540" t="str">
            <v>FORMULIR STANDAR UNTUK</v>
          </cell>
        </row>
        <row r="541">
          <cell r="A541" t="str">
            <v>PEREKAMAN ANALISA MASING-MASING HARGA SATUAN</v>
          </cell>
        </row>
        <row r="542">
          <cell r="A542">
            <v>0</v>
          </cell>
        </row>
        <row r="545">
          <cell r="A545" t="str">
            <v>PROYEK</v>
          </cell>
          <cell r="D545" t="str">
            <v xml:space="preserve">:  </v>
          </cell>
        </row>
        <row r="546">
          <cell r="A546" t="str">
            <v>No. PAKET KONTRAK</v>
          </cell>
          <cell r="D546" t="str">
            <v xml:space="preserve">:  </v>
          </cell>
        </row>
        <row r="547">
          <cell r="A547" t="str">
            <v>NAMA PAKET</v>
          </cell>
          <cell r="D547" t="str">
            <v xml:space="preserve">:  </v>
          </cell>
        </row>
        <row r="548">
          <cell r="A548" t="str">
            <v>PROP / KAB / KODYA</v>
          </cell>
          <cell r="D548" t="str">
            <v xml:space="preserve">:  </v>
          </cell>
        </row>
        <row r="549">
          <cell r="A549" t="str">
            <v>ITEM PEMBAYARAN NO.</v>
          </cell>
          <cell r="D549" t="e">
            <v>#REF!</v>
          </cell>
          <cell r="G549" t="str">
            <v>PERKIRAAN VOL. PEK.</v>
          </cell>
          <cell r="I549" t="str">
            <v>:</v>
          </cell>
          <cell r="J549" t="e">
            <v>#REF!</v>
          </cell>
        </row>
        <row r="550">
          <cell r="A550" t="str">
            <v>JENIS PEKERJAAN</v>
          </cell>
          <cell r="D550" t="e">
            <v>#REF!</v>
          </cell>
          <cell r="G550" t="str">
            <v>TOTAL HARGA</v>
          </cell>
          <cell r="I550" t="str">
            <v>:</v>
          </cell>
          <cell r="J550" t="e">
            <v>#REF!</v>
          </cell>
        </row>
        <row r="551">
          <cell r="A551" t="str">
            <v>SATUAN PEMBAYARAN</v>
          </cell>
          <cell r="D551" t="e">
            <v>#REF!</v>
          </cell>
          <cell r="G551" t="str">
            <v>% THD. BIAYA PROYEK</v>
          </cell>
          <cell r="I551" t="str">
            <v>:</v>
          </cell>
          <cell r="J551" t="e">
            <v>#REF!</v>
          </cell>
        </row>
        <row r="554">
          <cell r="F554" t="str">
            <v>PERKIRAAN</v>
          </cell>
          <cell r="G554" t="str">
            <v>HARGA</v>
          </cell>
          <cell r="H554" t="str">
            <v>JUMLAH</v>
          </cell>
        </row>
        <row r="555">
          <cell r="A555" t="str">
            <v>NO.</v>
          </cell>
          <cell r="C555" t="str">
            <v>KOMPONEN</v>
          </cell>
          <cell r="E555" t="str">
            <v>SATUAN</v>
          </cell>
          <cell r="F555" t="str">
            <v>KUANTITAS</v>
          </cell>
          <cell r="G555" t="str">
            <v>SATUAN</v>
          </cell>
          <cell r="H555" t="str">
            <v>HARGA</v>
          </cell>
        </row>
        <row r="556">
          <cell r="G556" t="str">
            <v>(Rp.)</v>
          </cell>
          <cell r="H556" t="str">
            <v>(Rp.)</v>
          </cell>
        </row>
        <row r="559">
          <cell r="A559" t="str">
            <v>A.</v>
          </cell>
          <cell r="C559" t="str">
            <v>TENAGA</v>
          </cell>
        </row>
        <row r="561">
          <cell r="A561" t="str">
            <v>1.</v>
          </cell>
          <cell r="C561" t="str">
            <v>Pekerja</v>
          </cell>
          <cell r="D561" t="str">
            <v>(L01)</v>
          </cell>
          <cell r="E561" t="str">
            <v>Jam</v>
          </cell>
          <cell r="F561" t="e">
            <v>#REF!</v>
          </cell>
          <cell r="G561">
            <v>6828.5714285714284</v>
          </cell>
          <cell r="J561" t="e">
            <v>#REF!</v>
          </cell>
        </row>
        <row r="562">
          <cell r="A562" t="str">
            <v>2.</v>
          </cell>
          <cell r="C562" t="str">
            <v>Mandor</v>
          </cell>
          <cell r="D562" t="str">
            <v>(L03)</v>
          </cell>
          <cell r="E562" t="str">
            <v>Jam</v>
          </cell>
          <cell r="F562" t="e">
            <v>#REF!</v>
          </cell>
          <cell r="G562">
            <v>9271.4285714285706</v>
          </cell>
          <cell r="J562" t="e">
            <v>#REF!</v>
          </cell>
        </row>
        <row r="565">
          <cell r="F565" t="str">
            <v xml:space="preserve">JUMLAH HARGA TENAGA   </v>
          </cell>
          <cell r="J565" t="e">
            <v>#REF!</v>
          </cell>
        </row>
        <row r="567">
          <cell r="A567" t="str">
            <v>B.</v>
          </cell>
          <cell r="C567" t="str">
            <v>BAHAN</v>
          </cell>
        </row>
        <row r="569">
          <cell r="A569" t="str">
            <v>1.</v>
          </cell>
          <cell r="C569" t="str">
            <v>Agregat Kelas C2 (M29)</v>
          </cell>
          <cell r="E569" t="str">
            <v>M3</v>
          </cell>
          <cell r="F569" t="e">
            <v>#REF!</v>
          </cell>
          <cell r="G569" t="str">
            <v xml:space="preserve">-  </v>
          </cell>
          <cell r="J569" t="e">
            <v>#REF!</v>
          </cell>
        </row>
        <row r="575">
          <cell r="F575" t="str">
            <v xml:space="preserve">JUMLAH HARGA BAHAN   </v>
          </cell>
          <cell r="J575" t="e">
            <v>#REF!</v>
          </cell>
        </row>
        <row r="577">
          <cell r="A577" t="str">
            <v>C.</v>
          </cell>
          <cell r="C577" t="str">
            <v>PERALATAN</v>
          </cell>
        </row>
        <row r="579">
          <cell r="A579" t="str">
            <v>1</v>
          </cell>
          <cell r="C579" t="str">
            <v>Wheel Loader</v>
          </cell>
          <cell r="D579" t="str">
            <v>(E15)</v>
          </cell>
          <cell r="E579" t="str">
            <v>Jam</v>
          </cell>
          <cell r="F579" t="e">
            <v>#REF!</v>
          </cell>
          <cell r="G579">
            <v>285227.16274533898</v>
          </cell>
          <cell r="J579" t="e">
            <v>#REF!</v>
          </cell>
        </row>
        <row r="580">
          <cell r="A580" t="str">
            <v>2</v>
          </cell>
          <cell r="C580" t="str">
            <v>Dump Truck</v>
          </cell>
          <cell r="D580" t="str">
            <v>(E08)</v>
          </cell>
          <cell r="E580" t="str">
            <v>Jam</v>
          </cell>
          <cell r="F580" t="e">
            <v>#REF!</v>
          </cell>
          <cell r="G580">
            <v>190839.55395153118</v>
          </cell>
          <cell r="J580" t="e">
            <v>#REF!</v>
          </cell>
        </row>
        <row r="581">
          <cell r="A581" t="str">
            <v>3</v>
          </cell>
          <cell r="C581" t="str">
            <v>Motor Grader</v>
          </cell>
          <cell r="D581" t="str">
            <v>(E13)</v>
          </cell>
          <cell r="E581" t="str">
            <v>Jam</v>
          </cell>
          <cell r="F581" t="e">
            <v>#REF!</v>
          </cell>
          <cell r="G581">
            <v>296121.26508892101</v>
          </cell>
          <cell r="J581" t="e">
            <v>#REF!</v>
          </cell>
        </row>
        <row r="582">
          <cell r="A582" t="str">
            <v>4</v>
          </cell>
          <cell r="C582" t="str">
            <v>Vibratory Roller</v>
          </cell>
          <cell r="D582" t="str">
            <v>(E19)</v>
          </cell>
          <cell r="E582" t="str">
            <v>Jam</v>
          </cell>
          <cell r="F582" t="e">
            <v>#REF!</v>
          </cell>
          <cell r="G582">
            <v>217999.13615073453</v>
          </cell>
          <cell r="J582" t="e">
            <v>#REF!</v>
          </cell>
        </row>
        <row r="583">
          <cell r="A583" t="str">
            <v>5</v>
          </cell>
          <cell r="C583" t="str">
            <v>P. Tyre Roller</v>
          </cell>
          <cell r="D583" t="str">
            <v>(E18)</v>
          </cell>
          <cell r="E583" t="str">
            <v>Jam</v>
          </cell>
          <cell r="F583" t="e">
            <v>#REF!</v>
          </cell>
          <cell r="G583">
            <v>189911.8324101661</v>
          </cell>
          <cell r="J583" t="e">
            <v>#REF!</v>
          </cell>
        </row>
        <row r="584">
          <cell r="A584" t="str">
            <v>6</v>
          </cell>
          <cell r="C584" t="str">
            <v>Water Tanker</v>
          </cell>
          <cell r="D584" t="str">
            <v>(E23)</v>
          </cell>
          <cell r="E584" t="str">
            <v>Jam</v>
          </cell>
          <cell r="F584" t="e">
            <v>#REF!</v>
          </cell>
          <cell r="G584">
            <v>175213.06416438863</v>
          </cell>
          <cell r="J584" t="e">
            <v>#REF!</v>
          </cell>
        </row>
        <row r="585">
          <cell r="A585" t="str">
            <v>7</v>
          </cell>
          <cell r="C585" t="str">
            <v>Alat Bantu</v>
          </cell>
          <cell r="E585" t="str">
            <v>Ls</v>
          </cell>
          <cell r="F585">
            <v>1</v>
          </cell>
          <cell r="G585">
            <v>800</v>
          </cell>
          <cell r="J585">
            <v>800</v>
          </cell>
        </row>
        <row r="587">
          <cell r="F587" t="str">
            <v xml:space="preserve">JUMLAH HARGA PERALATAN   </v>
          </cell>
          <cell r="J587" t="e">
            <v>#REF!</v>
          </cell>
        </row>
        <row r="589">
          <cell r="A589" t="str">
            <v>D.</v>
          </cell>
          <cell r="C589" t="str">
            <v>JUMLAH HARGA TENAGA, BAHAN DAN PERALATAN  ( A + B + C )</v>
          </cell>
          <cell r="J589" t="e">
            <v>#REF!</v>
          </cell>
        </row>
        <row r="590">
          <cell r="A590" t="str">
            <v>E.</v>
          </cell>
          <cell r="C590" t="str">
            <v>OVERHEAD &amp; PROFIT</v>
          </cell>
          <cell r="E590">
            <v>10</v>
          </cell>
          <cell r="F590" t="str">
            <v>%  x  D</v>
          </cell>
          <cell r="J590" t="e">
            <v>#REF!</v>
          </cell>
        </row>
        <row r="591">
          <cell r="A591" t="str">
            <v>F.</v>
          </cell>
          <cell r="C591" t="str">
            <v>HARGA SATUAN PEKERJAAN  ( D + E )</v>
          </cell>
          <cell r="J591" t="e">
            <v>#REF!</v>
          </cell>
        </row>
        <row r="592">
          <cell r="A592" t="str">
            <v>Note: 1</v>
          </cell>
          <cell r="C592" t="str">
            <v>SATUAN dapat berdasarkan atas jam operasi untuk Tenaga Kerja dan Peralatan, volume dan/atau ukuran</v>
          </cell>
        </row>
        <row r="593">
          <cell r="C593" t="str">
            <v>berat untuk bahan-bahan.</v>
          </cell>
        </row>
        <row r="594">
          <cell r="A594">
            <v>2</v>
          </cell>
          <cell r="C594" t="str">
            <v>Kuantitas satuan adalah kuantitas setiap komponen untuk menyelesaikan satu satuan pekerjaan dari nomor</v>
          </cell>
        </row>
        <row r="595">
          <cell r="C595" t="str">
            <v>mata pembayaran.</v>
          </cell>
        </row>
        <row r="596">
          <cell r="A596">
            <v>3</v>
          </cell>
          <cell r="C596" t="str">
            <v>Biaya satuan untuk peralatan sudah termasuk bahan bakar, bahan habis dipakai dan operator.</v>
          </cell>
        </row>
        <row r="597">
          <cell r="A597">
            <v>4</v>
          </cell>
          <cell r="C597" t="str">
            <v>Biaya satuan sudah termasuk pengeluaran untuk seluruh pajak yang berkaitan (tetapi tidak termasuk PPN</v>
          </cell>
        </row>
        <row r="598">
          <cell r="C598" t="str">
            <v>yang dibayar dari kontrak) dan biaya-biaya lainnya.</v>
          </cell>
        </row>
        <row r="717">
          <cell r="I717" t="str">
            <v>Analisa EI-541</v>
          </cell>
        </row>
        <row r="719">
          <cell r="A719" t="str">
            <v>FORMULIR STANDAR UNTUK</v>
          </cell>
        </row>
        <row r="720">
          <cell r="A720" t="str">
            <v>PEREKAMAN ANALISA MASING-MASING HARGA SATUAN</v>
          </cell>
        </row>
        <row r="721">
          <cell r="A721">
            <v>0</v>
          </cell>
        </row>
        <row r="723">
          <cell r="A723" t="str">
            <v>Kegiatan</v>
          </cell>
          <cell r="D723" t="str">
            <v>: Pembangunan Jalan Dinas Bina Marga dan Cipta Karya Prov. NAD</v>
          </cell>
        </row>
        <row r="724">
          <cell r="A724" t="str">
            <v>Nama Paket</v>
          </cell>
          <cell r="D724" t="str">
            <v>: ………….………………………………..</v>
          </cell>
        </row>
        <row r="725">
          <cell r="A725" t="str">
            <v>Nomor Paket</v>
          </cell>
          <cell r="D725" t="str">
            <v>: ………….………………………………..</v>
          </cell>
        </row>
        <row r="726">
          <cell r="A726" t="str">
            <v>Tahun Anggaran</v>
          </cell>
          <cell r="D726" t="str">
            <v>: 2009</v>
          </cell>
        </row>
        <row r="727">
          <cell r="A727" t="str">
            <v>Prop / Kab / Kodya</v>
          </cell>
          <cell r="D727" t="str">
            <v>: ………….………………………………..</v>
          </cell>
        </row>
        <row r="728">
          <cell r="A728" t="str">
            <v>ITEM PEMBAYARAN NO.</v>
          </cell>
          <cell r="D728" t="str">
            <v>:  5.4(1)</v>
          </cell>
          <cell r="G728" t="str">
            <v>PERKIRAAN VOL. PEK.</v>
          </cell>
          <cell r="I728" t="str">
            <v>:</v>
          </cell>
        </row>
        <row r="729">
          <cell r="A729" t="str">
            <v>JENIS PEKERJAAN</v>
          </cell>
          <cell r="D729" t="str">
            <v>:  Semen Untuk Pond. Semen Tnh.</v>
          </cell>
          <cell r="G729" t="str">
            <v>TOTAL HARGA</v>
          </cell>
          <cell r="I729" t="str">
            <v>:</v>
          </cell>
        </row>
        <row r="730">
          <cell r="A730" t="str">
            <v>SATUAN PEMBAYARAN</v>
          </cell>
          <cell r="D730" t="str">
            <v>:  TON</v>
          </cell>
          <cell r="G730" t="str">
            <v>% THD. BIAYA PROYEK</v>
          </cell>
          <cell r="I730" t="str">
            <v>:</v>
          </cell>
        </row>
        <row r="733">
          <cell r="F733" t="str">
            <v>PERKIRAAN</v>
          </cell>
          <cell r="G733" t="str">
            <v>HARGA</v>
          </cell>
          <cell r="H733" t="str">
            <v>JUMLAH</v>
          </cell>
        </row>
        <row r="734">
          <cell r="A734" t="str">
            <v>NO.</v>
          </cell>
          <cell r="C734" t="str">
            <v>KOMPONEN</v>
          </cell>
          <cell r="E734" t="str">
            <v>SATUAN</v>
          </cell>
          <cell r="F734" t="str">
            <v>KUANTITAS</v>
          </cell>
          <cell r="G734" t="str">
            <v>SATUAN</v>
          </cell>
          <cell r="H734" t="str">
            <v>HARGA</v>
          </cell>
        </row>
        <row r="735">
          <cell r="G735" t="str">
            <v>(Rp.)</v>
          </cell>
          <cell r="H735" t="str">
            <v>(Rp.)</v>
          </cell>
        </row>
        <row r="738">
          <cell r="A738" t="str">
            <v>A.</v>
          </cell>
          <cell r="C738" t="str">
            <v>TENAGA</v>
          </cell>
        </row>
        <row r="740">
          <cell r="A740" t="str">
            <v>1.</v>
          </cell>
          <cell r="C740" t="str">
            <v>Pekerja</v>
          </cell>
          <cell r="D740" t="str">
            <v>(L01)</v>
          </cell>
          <cell r="E740" t="str">
            <v>Jam</v>
          </cell>
        </row>
        <row r="741">
          <cell r="A741" t="str">
            <v>2.</v>
          </cell>
          <cell r="C741" t="str">
            <v>Mandor</v>
          </cell>
          <cell r="D741" t="str">
            <v>(L03)</v>
          </cell>
          <cell r="E741" t="str">
            <v>Jam</v>
          </cell>
        </row>
        <row r="744">
          <cell r="F744" t="str">
            <v xml:space="preserve">JUMLAH HARGA TENAGA   </v>
          </cell>
        </row>
        <row r="746">
          <cell r="A746" t="str">
            <v>B.</v>
          </cell>
          <cell r="C746" t="str">
            <v>BAHAN</v>
          </cell>
        </row>
        <row r="747">
          <cell r="A747" t="str">
            <v>1.</v>
          </cell>
          <cell r="C747" t="str">
            <v>Semen</v>
          </cell>
          <cell r="D747" t="str">
            <v>(M12)</v>
          </cell>
          <cell r="E747" t="str">
            <v>Kg</v>
          </cell>
          <cell r="F747">
            <v>1050</v>
          </cell>
        </row>
        <row r="754">
          <cell r="F754" t="str">
            <v xml:space="preserve">JUMLAH HARGA BAHAN   </v>
          </cell>
        </row>
        <row r="756">
          <cell r="A756" t="str">
            <v>C.</v>
          </cell>
          <cell r="C756" t="str">
            <v>PERALATAN</v>
          </cell>
        </row>
        <row r="757">
          <cell r="A757" t="str">
            <v>1.</v>
          </cell>
          <cell r="C757" t="str">
            <v>Dump Truck</v>
          </cell>
          <cell r="D757" t="str">
            <v>(E08)</v>
          </cell>
          <cell r="E757" t="str">
            <v>Jam</v>
          </cell>
        </row>
        <row r="766">
          <cell r="F766" t="str">
            <v xml:space="preserve">JUMLAH HARGA PERALATAN   </v>
          </cell>
        </row>
        <row r="768">
          <cell r="A768" t="str">
            <v>D.</v>
          </cell>
          <cell r="C768" t="str">
            <v>JUMLAH HARGA TENAGA, BAHAN DAN PERALATAN  ( A + B + C )</v>
          </cell>
        </row>
        <row r="769">
          <cell r="A769" t="str">
            <v>E.</v>
          </cell>
          <cell r="C769" t="str">
            <v>OVERHEAD &amp; PROFIT</v>
          </cell>
          <cell r="E769">
            <v>10</v>
          </cell>
          <cell r="F769" t="str">
            <v>%  x  D</v>
          </cell>
        </row>
        <row r="770">
          <cell r="A770" t="str">
            <v>F.</v>
          </cell>
          <cell r="C770" t="str">
            <v>HARGA SATUAN PEKERJAAN  ( D + E ) DIBULATKAN</v>
          </cell>
        </row>
        <row r="771">
          <cell r="A771" t="str">
            <v>Note: 1</v>
          </cell>
          <cell r="C771" t="str">
            <v>SATUAN dapat berdasarkan atas jam operasi untuk Tenaga Kerja dan Peralatan, volume dan/atau ukuran</v>
          </cell>
        </row>
        <row r="772">
          <cell r="C772" t="str">
            <v>berat untuk bahan-bahan.</v>
          </cell>
        </row>
        <row r="773">
          <cell r="A773">
            <v>2</v>
          </cell>
          <cell r="C773" t="str">
            <v>Kuantitas satuan adalah kuantitas setiap komponen untuk menyelesaikan satu satuan pekerjaan dari nomor</v>
          </cell>
        </row>
        <row r="774">
          <cell r="C774" t="str">
            <v>mata pembayaran.</v>
          </cell>
        </row>
        <row r="775">
          <cell r="A775">
            <v>3</v>
          </cell>
          <cell r="C775" t="str">
            <v>Biaya satuan untuk peralatan sudah termasuk bahan bakar, bahan habis dipakai dan operator.</v>
          </cell>
        </row>
        <row r="776">
          <cell r="A776">
            <v>4</v>
          </cell>
          <cell r="C776" t="str">
            <v>Biaya satuan sudah termasuk pengeluaran untuk seluruh pajak yang berkaitan (tetapi tidak termasuk PPN</v>
          </cell>
        </row>
        <row r="777">
          <cell r="C777" t="str">
            <v>yang dibayar dari kontrak) dan biaya-biaya lainnya.</v>
          </cell>
        </row>
        <row r="837">
          <cell r="I837" t="str">
            <v>Analisa EI-542</v>
          </cell>
        </row>
        <row r="839">
          <cell r="A839" t="str">
            <v>FORMULIR STANDAR UNTUK</v>
          </cell>
        </row>
        <row r="840">
          <cell r="A840" t="str">
            <v>PEREKAMAN ANALISA MASING-MASING HARGA SATUAN</v>
          </cell>
        </row>
        <row r="841">
          <cell r="A841">
            <v>0</v>
          </cell>
        </row>
        <row r="843">
          <cell r="A843" t="str">
            <v>Kegiatan</v>
          </cell>
          <cell r="D843" t="str">
            <v>: Pembangunan Jalan Dinas Bina Marga dan Cipta Karya Prov. NAD</v>
          </cell>
        </row>
        <row r="844">
          <cell r="A844" t="str">
            <v>Nama Paket</v>
          </cell>
          <cell r="D844" t="str">
            <v>: ………….………………………………..</v>
          </cell>
        </row>
        <row r="845">
          <cell r="A845" t="str">
            <v>Nomor Paket</v>
          </cell>
          <cell r="D845" t="str">
            <v>: ………….………………………………..</v>
          </cell>
        </row>
        <row r="846">
          <cell r="A846" t="str">
            <v>Tahun Anggaran</v>
          </cell>
          <cell r="D846" t="str">
            <v>: 2009</v>
          </cell>
        </row>
        <row r="847">
          <cell r="A847" t="str">
            <v>Prop / Kab / Kodya</v>
          </cell>
          <cell r="D847" t="str">
            <v>: ………….………………………………..</v>
          </cell>
        </row>
        <row r="848">
          <cell r="A848" t="str">
            <v>ITEM PEMBAYARAN NO.</v>
          </cell>
          <cell r="D848" t="str">
            <v>:  5.4(2)</v>
          </cell>
          <cell r="G848" t="str">
            <v>PERKIRAAN VOL. PEK.</v>
          </cell>
          <cell r="I848" t="str">
            <v>:</v>
          </cell>
        </row>
        <row r="849">
          <cell r="A849" t="str">
            <v>JENIS PEKERJAAN</v>
          </cell>
          <cell r="D849" t="str">
            <v>:  Lapis Pondasi Semen Tanah</v>
          </cell>
          <cell r="G849" t="str">
            <v>TOTAL HARGA</v>
          </cell>
          <cell r="I849" t="str">
            <v>:</v>
          </cell>
        </row>
        <row r="850">
          <cell r="A850" t="str">
            <v>SATUAN PEMBAYARAN</v>
          </cell>
          <cell r="D850" t="str">
            <v>:  M3</v>
          </cell>
          <cell r="G850" t="str">
            <v>% THD. BIAYA PROYEK</v>
          </cell>
          <cell r="I850" t="str">
            <v>:</v>
          </cell>
        </row>
        <row r="853">
          <cell r="F853" t="str">
            <v>PERKIRAAN</v>
          </cell>
          <cell r="G853" t="str">
            <v>HARGA</v>
          </cell>
          <cell r="H853" t="str">
            <v>JUMLAH</v>
          </cell>
        </row>
        <row r="854">
          <cell r="A854" t="str">
            <v>NO.</v>
          </cell>
          <cell r="C854" t="str">
            <v>KOMPONEN</v>
          </cell>
          <cell r="E854" t="str">
            <v>SATUAN</v>
          </cell>
          <cell r="F854" t="str">
            <v>KUANTITAS</v>
          </cell>
          <cell r="G854" t="str">
            <v>SATUAN</v>
          </cell>
          <cell r="H854" t="str">
            <v>HARGA</v>
          </cell>
        </row>
        <row r="855">
          <cell r="G855" t="str">
            <v>(Rp.)</v>
          </cell>
          <cell r="H855" t="str">
            <v>(Rp.)</v>
          </cell>
        </row>
        <row r="858">
          <cell r="A858" t="str">
            <v>A.</v>
          </cell>
          <cell r="C858" t="str">
            <v>TENAGA</v>
          </cell>
        </row>
        <row r="860">
          <cell r="A860" t="str">
            <v>1.</v>
          </cell>
          <cell r="C860" t="str">
            <v>Pekerja</v>
          </cell>
          <cell r="D860" t="str">
            <v>(L01)</v>
          </cell>
          <cell r="E860" t="str">
            <v>Jam</v>
          </cell>
        </row>
        <row r="861">
          <cell r="A861" t="str">
            <v>2.</v>
          </cell>
          <cell r="C861" t="str">
            <v>Mandor</v>
          </cell>
          <cell r="D861" t="str">
            <v>(L03)</v>
          </cell>
          <cell r="E861" t="str">
            <v>Jam</v>
          </cell>
        </row>
        <row r="864">
          <cell r="F864" t="str">
            <v xml:space="preserve">JUMLAH HARGA TENAGA   </v>
          </cell>
        </row>
        <row r="866">
          <cell r="A866" t="str">
            <v>B.</v>
          </cell>
          <cell r="C866" t="str">
            <v>BAHAN</v>
          </cell>
        </row>
        <row r="868">
          <cell r="A868" t="str">
            <v>1.</v>
          </cell>
          <cell r="C868" t="str">
            <v>Tanah Timbunan     (M08)</v>
          </cell>
          <cell r="E868" t="str">
            <v>M3</v>
          </cell>
          <cell r="F868">
            <v>1.2</v>
          </cell>
        </row>
        <row r="874">
          <cell r="F874" t="str">
            <v xml:space="preserve">JUMLAH HARGA BAHAN   </v>
          </cell>
        </row>
        <row r="876">
          <cell r="A876" t="str">
            <v>C.</v>
          </cell>
          <cell r="C876" t="str">
            <v>PERALATAN</v>
          </cell>
        </row>
        <row r="877">
          <cell r="A877" t="str">
            <v>1.</v>
          </cell>
          <cell r="C877" t="str">
            <v>Wheel Loader</v>
          </cell>
          <cell r="D877" t="str">
            <v>(E15)</v>
          </cell>
          <cell r="E877" t="str">
            <v>Jam</v>
          </cell>
        </row>
        <row r="878">
          <cell r="A878" t="str">
            <v>2.</v>
          </cell>
          <cell r="C878" t="str">
            <v>Dump Truck</v>
          </cell>
          <cell r="D878" t="str">
            <v>(E08)</v>
          </cell>
          <cell r="E878" t="str">
            <v>Jam</v>
          </cell>
        </row>
        <row r="879">
          <cell r="A879" t="str">
            <v>3.</v>
          </cell>
          <cell r="C879" t="str">
            <v>Motor Grader</v>
          </cell>
          <cell r="D879" t="str">
            <v>(E13)</v>
          </cell>
          <cell r="E879" t="str">
            <v>Jam</v>
          </cell>
        </row>
        <row r="880">
          <cell r="A880" t="str">
            <v>4.</v>
          </cell>
          <cell r="C880" t="str">
            <v>Vibrator Roller</v>
          </cell>
          <cell r="D880" t="str">
            <v>(E19)</v>
          </cell>
          <cell r="E880" t="str">
            <v>Jam</v>
          </cell>
        </row>
        <row r="881">
          <cell r="A881" t="str">
            <v>5.</v>
          </cell>
          <cell r="C881" t="str">
            <v>P. Tyre Roller</v>
          </cell>
          <cell r="D881" t="str">
            <v>(E18)</v>
          </cell>
          <cell r="E881" t="str">
            <v>Jam</v>
          </cell>
        </row>
        <row r="882">
          <cell r="A882" t="str">
            <v>6.</v>
          </cell>
          <cell r="C882" t="str">
            <v>Water Tanker</v>
          </cell>
          <cell r="D882" t="str">
            <v>(E23)</v>
          </cell>
          <cell r="E882" t="str">
            <v>Jam</v>
          </cell>
        </row>
        <row r="883">
          <cell r="A883" t="str">
            <v>7.</v>
          </cell>
          <cell r="C883" t="str">
            <v>Fulvi Mixer</v>
          </cell>
          <cell r="D883" t="str">
            <v>(E27)</v>
          </cell>
          <cell r="E883" t="str">
            <v>Jam</v>
          </cell>
        </row>
        <row r="884">
          <cell r="A884" t="str">
            <v>8.</v>
          </cell>
          <cell r="C884" t="str">
            <v>Alat Bantu</v>
          </cell>
          <cell r="E884" t="str">
            <v>Ls</v>
          </cell>
        </row>
        <row r="886">
          <cell r="F886" t="str">
            <v xml:space="preserve">JUMLAH HARGA PERALATAN   </v>
          </cell>
        </row>
        <row r="888">
          <cell r="A888" t="str">
            <v>D.</v>
          </cell>
          <cell r="C888" t="str">
            <v>JUMLAH HARGA TENAGA, BAHAN DAN PERALATAN  ( A + B + C )</v>
          </cell>
        </row>
        <row r="889">
          <cell r="A889" t="str">
            <v>E.</v>
          </cell>
          <cell r="C889" t="str">
            <v>OVERHEAD &amp; PROFIT</v>
          </cell>
          <cell r="E889">
            <v>10</v>
          </cell>
          <cell r="F889" t="str">
            <v>%  x  D</v>
          </cell>
        </row>
        <row r="890">
          <cell r="A890" t="str">
            <v>F.</v>
          </cell>
          <cell r="C890" t="str">
            <v>HARGA SATUAN PEKERJAAN  ( D + E ) DIBULATKAN</v>
          </cell>
        </row>
        <row r="891">
          <cell r="A891" t="str">
            <v>Note: 1</v>
          </cell>
          <cell r="C891" t="str">
            <v>SATUAN dapat berdasarkan atas jam operasi untuk Tenaga Kerja dan Peralatan, volume dan/atau ukuran</v>
          </cell>
        </row>
        <row r="892">
          <cell r="C892" t="str">
            <v>berat untuk bahan-bahan.</v>
          </cell>
        </row>
        <row r="893">
          <cell r="A893">
            <v>2</v>
          </cell>
          <cell r="C893" t="str">
            <v>Kuantitas satuan adalah kuantitas setiap komponen untuk menyelesaikan satu satuan pekerjaan dari nomor</v>
          </cell>
        </row>
        <row r="894">
          <cell r="C894" t="str">
            <v>mata pembayaran.</v>
          </cell>
        </row>
        <row r="895">
          <cell r="A895">
            <v>3</v>
          </cell>
          <cell r="C895" t="str">
            <v>Biaya satuan untuk peralatan sudah termasuk bahan bakar, bahan habis dipakai dan operator.</v>
          </cell>
        </row>
        <row r="896">
          <cell r="A896">
            <v>4</v>
          </cell>
          <cell r="C896" t="str">
            <v>Biaya satuan sudah termasuk pengeluaran untuk seluruh pajak yang berkaitan (tetapi tidak termasuk PPN</v>
          </cell>
        </row>
        <row r="897">
          <cell r="C897" t="str">
            <v>yang dibayar dari kontrak) dan biaya-biaya lainnya.</v>
          </cell>
        </row>
      </sheetData>
      <sheetData sheetId="12">
        <row r="1">
          <cell r="I1" t="str">
            <v>Analisa EI-611</v>
          </cell>
        </row>
        <row r="3">
          <cell r="A3" t="str">
            <v>FORMULIR STANDAR UNTUK</v>
          </cell>
        </row>
        <row r="4">
          <cell r="A4" t="str">
            <v>PEREKAMAN ANALISA MASING-MASING HARGA SATUAN</v>
          </cell>
        </row>
        <row r="5">
          <cell r="A5">
            <v>0</v>
          </cell>
        </row>
        <row r="7">
          <cell r="A7" t="str">
            <v>Kegiatan</v>
          </cell>
          <cell r="D7" t="str">
            <v>: Pembangunan Jalan Dinas Bina Marga dan Cipta Karya Prov. NAD</v>
          </cell>
        </row>
        <row r="8">
          <cell r="A8" t="str">
            <v>Nama Paket</v>
          </cell>
          <cell r="D8" t="str">
            <v>: ………….………………………………..</v>
          </cell>
        </row>
        <row r="9">
          <cell r="A9" t="str">
            <v>Nomor Paket</v>
          </cell>
          <cell r="D9" t="str">
            <v>: ………….………………………………..</v>
          </cell>
        </row>
        <row r="10">
          <cell r="A10" t="str">
            <v>Tahun Anggaran</v>
          </cell>
          <cell r="D10" t="str">
            <v>: 2009</v>
          </cell>
        </row>
        <row r="11">
          <cell r="A11" t="str">
            <v>Prop / Kab / Kodya</v>
          </cell>
          <cell r="D11" t="str">
            <v>: ………….………………………………..</v>
          </cell>
        </row>
        <row r="12">
          <cell r="A12" t="str">
            <v>ITEM PEMBAYARAN NO.</v>
          </cell>
          <cell r="D12" t="str">
            <v>:  6.1 (1)</v>
          </cell>
          <cell r="G12" t="str">
            <v>PERKIRAAN VOL. PEK.</v>
          </cell>
          <cell r="I12" t="str">
            <v>:</v>
          </cell>
        </row>
        <row r="13">
          <cell r="A13" t="str">
            <v>JENIS PEKERJAAN</v>
          </cell>
          <cell r="D13" t="str">
            <v>:  Lapis Resap Pengikat</v>
          </cell>
          <cell r="G13" t="str">
            <v>TOTAL HARGA (Rp.)</v>
          </cell>
          <cell r="I13" t="str">
            <v>:</v>
          </cell>
        </row>
        <row r="14">
          <cell r="A14" t="str">
            <v>SATUAN PEMBAYARAN</v>
          </cell>
          <cell r="D14" t="str">
            <v>:  LITER</v>
          </cell>
          <cell r="G14" t="str">
            <v>% THD. BIAYA PROYEK</v>
          </cell>
          <cell r="I14" t="str">
            <v>:</v>
          </cell>
        </row>
        <row r="17">
          <cell r="F17" t="str">
            <v>PERKIRAAN</v>
          </cell>
          <cell r="G17" t="str">
            <v>HARGA</v>
          </cell>
          <cell r="H17" t="str">
            <v>JUMLAH</v>
          </cell>
        </row>
        <row r="18">
          <cell r="A18" t="str">
            <v>NO.</v>
          </cell>
          <cell r="C18" t="str">
            <v>KOMPONEN</v>
          </cell>
          <cell r="E18" t="str">
            <v>SATUAN</v>
          </cell>
          <cell r="F18" t="str">
            <v>KUANTITAS</v>
          </cell>
          <cell r="G18" t="str">
            <v>SATUAN</v>
          </cell>
          <cell r="H18" t="str">
            <v>HARGA</v>
          </cell>
        </row>
        <row r="19">
          <cell r="G19" t="str">
            <v>(Rp.)</v>
          </cell>
          <cell r="H19" t="str">
            <v>(Rp.)</v>
          </cell>
        </row>
        <row r="22">
          <cell r="A22" t="str">
            <v>A.</v>
          </cell>
          <cell r="C22" t="str">
            <v>TENAGA</v>
          </cell>
        </row>
        <row r="24">
          <cell r="A24" t="str">
            <v>1.</v>
          </cell>
          <cell r="C24" t="str">
            <v>Pekerja</v>
          </cell>
          <cell r="D24" t="str">
            <v>(L01)</v>
          </cell>
          <cell r="E24" t="str">
            <v>Jam</v>
          </cell>
        </row>
        <row r="25">
          <cell r="A25" t="str">
            <v>2.</v>
          </cell>
          <cell r="C25" t="str">
            <v>Mandor</v>
          </cell>
          <cell r="D25" t="str">
            <v>(L03)</v>
          </cell>
          <cell r="E25" t="str">
            <v>Jam</v>
          </cell>
        </row>
        <row r="28">
          <cell r="F28" t="str">
            <v xml:space="preserve">JUMLAH HARGA TENAGA   </v>
          </cell>
        </row>
        <row r="30">
          <cell r="A30" t="str">
            <v>B.</v>
          </cell>
          <cell r="C30" t="str">
            <v>BAHAN</v>
          </cell>
        </row>
        <row r="32">
          <cell r="A32" t="str">
            <v>1.</v>
          </cell>
          <cell r="C32" t="str">
            <v>Aspal</v>
          </cell>
          <cell r="D32" t="str">
            <v>(M10)</v>
          </cell>
          <cell r="E32" t="str">
            <v>Kg</v>
          </cell>
          <cell r="F32">
            <v>0.64166666666666672</v>
          </cell>
        </row>
        <row r="33">
          <cell r="A33" t="str">
            <v>2.</v>
          </cell>
          <cell r="C33" t="str">
            <v>Kerosene</v>
          </cell>
          <cell r="D33" t="str">
            <v>(M11)</v>
          </cell>
          <cell r="E33" t="str">
            <v>liter</v>
          </cell>
          <cell r="F33">
            <v>0.48888888888888893</v>
          </cell>
        </row>
        <row r="38">
          <cell r="F38" t="str">
            <v xml:space="preserve">JUMLAH HARGA BAHAN   </v>
          </cell>
        </row>
        <row r="40">
          <cell r="A40" t="str">
            <v>C.</v>
          </cell>
          <cell r="C40" t="str">
            <v>PERALATAN</v>
          </cell>
        </row>
        <row r="42">
          <cell r="A42" t="str">
            <v>1.</v>
          </cell>
          <cell r="C42" t="str">
            <v>Asp. Sprayer</v>
          </cell>
          <cell r="D42" t="str">
            <v>(E03)</v>
          </cell>
          <cell r="E42" t="str">
            <v>Jam</v>
          </cell>
        </row>
        <row r="43">
          <cell r="A43" t="str">
            <v>2.</v>
          </cell>
          <cell r="C43" t="str">
            <v>Compressor</v>
          </cell>
          <cell r="D43" t="str">
            <v>(E05)</v>
          </cell>
          <cell r="E43" t="str">
            <v>Jam</v>
          </cell>
        </row>
        <row r="44">
          <cell r="A44" t="str">
            <v>3.</v>
          </cell>
          <cell r="C44" t="str">
            <v>Dump Truck</v>
          </cell>
          <cell r="D44" t="str">
            <v>(E08)</v>
          </cell>
          <cell r="E44" t="str">
            <v>Jam</v>
          </cell>
        </row>
        <row r="50">
          <cell r="F50" t="str">
            <v xml:space="preserve">JUMLAH HARGA PERALATAN   </v>
          </cell>
        </row>
        <row r="52">
          <cell r="A52" t="str">
            <v>D.</v>
          </cell>
          <cell r="C52" t="str">
            <v>JUMLAH HARGA TENAGA, BAHAN DAN PERALATAN  ( A + B + C )</v>
          </cell>
        </row>
        <row r="53">
          <cell r="A53" t="str">
            <v>E.</v>
          </cell>
          <cell r="C53" t="str">
            <v>OVERHEAD &amp; PROFIT</v>
          </cell>
          <cell r="E53">
            <v>10</v>
          </cell>
          <cell r="F53" t="str">
            <v>%  x  D</v>
          </cell>
        </row>
        <row r="54">
          <cell r="A54" t="str">
            <v>F.</v>
          </cell>
          <cell r="C54" t="str">
            <v>HARGA SATUAN PEKERJAAN  ( D + E ) DIBULATKAN</v>
          </cell>
        </row>
        <row r="55">
          <cell r="A55" t="str">
            <v>Note: 1</v>
          </cell>
          <cell r="C55" t="str">
            <v>SATUAN dapat berdasarkan atas jam operasi untuk Tenaga Kerja dan Peralatan, volume dan/atau ukuran</v>
          </cell>
        </row>
        <row r="56">
          <cell r="C56" t="str">
            <v>berat untuk bahan-bahan.</v>
          </cell>
        </row>
        <row r="57">
          <cell r="A57">
            <v>2</v>
          </cell>
          <cell r="C57" t="str">
            <v>Kuantitas satuan adalah kuantitas setiap komponen untuk menyelesaikan satu satuan pekerjaan dari nomor</v>
          </cell>
        </row>
        <row r="58">
          <cell r="C58" t="str">
            <v>mata pembayaran.</v>
          </cell>
        </row>
        <row r="59">
          <cell r="A59">
            <v>3</v>
          </cell>
          <cell r="C59" t="str">
            <v>Biaya satuan untuk peralatan sudah termasuk bahan bakar, bahan habis dipakai dan operator.</v>
          </cell>
        </row>
        <row r="60">
          <cell r="A60">
            <v>4</v>
          </cell>
          <cell r="C60" t="str">
            <v>Biaya satuan sudah termasuk pengeluaran untuk seluruh pajak yang berkaitan (tetapi tidak termasuk PPN</v>
          </cell>
        </row>
        <row r="61">
          <cell r="C61" t="str">
            <v>yang dibayar dari kontrak) dan biaya-biaya lainnya.</v>
          </cell>
        </row>
        <row r="121">
          <cell r="I121" t="str">
            <v>Analisa EI-612</v>
          </cell>
        </row>
        <row r="123">
          <cell r="A123" t="str">
            <v>FORMULIR STANDAR UNTUK</v>
          </cell>
        </row>
        <row r="124">
          <cell r="A124" t="str">
            <v>PEREKAMAN ANALISA MASING-MASING HARGA SATUAN</v>
          </cell>
        </row>
        <row r="125">
          <cell r="A125">
            <v>0</v>
          </cell>
        </row>
        <row r="127">
          <cell r="A127" t="str">
            <v>Kegiatan</v>
          </cell>
          <cell r="D127" t="str">
            <v>: Pembangunan Jalan Dinas Bina Marga dan Cipta Karya Prov. NAD</v>
          </cell>
        </row>
        <row r="128">
          <cell r="A128" t="str">
            <v>Nama Paket</v>
          </cell>
          <cell r="D128" t="str">
            <v>: ………….………………………………..</v>
          </cell>
        </row>
        <row r="129">
          <cell r="A129" t="str">
            <v>Nomor Paket</v>
          </cell>
          <cell r="D129" t="str">
            <v>: ………….………………………………..</v>
          </cell>
        </row>
        <row r="130">
          <cell r="A130" t="str">
            <v>Tahun Anggaran</v>
          </cell>
          <cell r="D130" t="str">
            <v>: 2009</v>
          </cell>
        </row>
        <row r="131">
          <cell r="A131" t="str">
            <v>Prop / Kab / Kodya</v>
          </cell>
          <cell r="D131" t="str">
            <v>: ………….………………………………..</v>
          </cell>
        </row>
        <row r="132">
          <cell r="A132" t="str">
            <v>ITEM PEMBAYARAN NO.</v>
          </cell>
          <cell r="D132" t="str">
            <v>:  6.1 (2)</v>
          </cell>
          <cell r="G132" t="str">
            <v>PERKIRAAN VOL. PEK.</v>
          </cell>
          <cell r="I132" t="str">
            <v>:</v>
          </cell>
        </row>
        <row r="133">
          <cell r="A133" t="str">
            <v>JENIS PEKERJAAN</v>
          </cell>
          <cell r="D133" t="str">
            <v>:  Lapis Perekat</v>
          </cell>
          <cell r="G133" t="str">
            <v>TOTAL HARGA (Rp.)</v>
          </cell>
          <cell r="I133" t="str">
            <v>:</v>
          </cell>
        </row>
        <row r="134">
          <cell r="A134" t="str">
            <v>SATUAN PEMBAYARAN</v>
          </cell>
          <cell r="D134" t="str">
            <v>:  LITER</v>
          </cell>
          <cell r="G134" t="str">
            <v>% THD. BIAYA PROYEK</v>
          </cell>
          <cell r="I134" t="str">
            <v>:</v>
          </cell>
        </row>
        <row r="137">
          <cell r="F137" t="str">
            <v>PERKIRAAN</v>
          </cell>
          <cell r="G137" t="str">
            <v>HARGA</v>
          </cell>
          <cell r="H137" t="str">
            <v>JUMLAH</v>
          </cell>
        </row>
        <row r="138">
          <cell r="A138" t="str">
            <v>NO.</v>
          </cell>
          <cell r="C138" t="str">
            <v>KOMPONEN</v>
          </cell>
          <cell r="E138" t="str">
            <v>SATUAN</v>
          </cell>
          <cell r="F138" t="str">
            <v>KUANTITAS</v>
          </cell>
          <cell r="G138" t="str">
            <v>SATUAN</v>
          </cell>
          <cell r="H138" t="str">
            <v>HARGA</v>
          </cell>
        </row>
        <row r="139">
          <cell r="G139" t="str">
            <v>(Rp.)</v>
          </cell>
          <cell r="H139" t="str">
            <v>(Rp.)</v>
          </cell>
        </row>
        <row r="142">
          <cell r="A142" t="str">
            <v>A.</v>
          </cell>
          <cell r="C142" t="str">
            <v>TENAGA</v>
          </cell>
        </row>
        <row r="144">
          <cell r="A144" t="str">
            <v>1.</v>
          </cell>
          <cell r="C144" t="str">
            <v>Pekerja</v>
          </cell>
          <cell r="D144" t="str">
            <v>(L01)</v>
          </cell>
          <cell r="E144" t="str">
            <v>Jam</v>
          </cell>
        </row>
        <row r="145">
          <cell r="A145" t="str">
            <v>2.</v>
          </cell>
          <cell r="C145" t="str">
            <v>Mandor</v>
          </cell>
          <cell r="D145" t="str">
            <v>(L03)</v>
          </cell>
          <cell r="E145" t="str">
            <v>Jam</v>
          </cell>
        </row>
        <row r="148">
          <cell r="F148" t="str">
            <v xml:space="preserve">JUMLAH HARGA TENAGA   </v>
          </cell>
        </row>
        <row r="150">
          <cell r="A150" t="str">
            <v>B.</v>
          </cell>
          <cell r="C150" t="str">
            <v>BAHAN</v>
          </cell>
        </row>
        <row r="152">
          <cell r="A152" t="str">
            <v>1.</v>
          </cell>
          <cell r="C152" t="str">
            <v>Aspal</v>
          </cell>
          <cell r="D152" t="str">
            <v>(M10)</v>
          </cell>
          <cell r="E152" t="str">
            <v>Kg</v>
          </cell>
          <cell r="F152">
            <v>0.87241000000000013</v>
          </cell>
        </row>
        <row r="153">
          <cell r="A153" t="str">
            <v>2.</v>
          </cell>
          <cell r="C153" t="str">
            <v>Kerosene</v>
          </cell>
          <cell r="D153" t="str">
            <v>(M11)</v>
          </cell>
          <cell r="E153" t="str">
            <v>liter</v>
          </cell>
          <cell r="F153">
            <v>0.25300000000000006</v>
          </cell>
        </row>
        <row r="158">
          <cell r="F158" t="str">
            <v xml:space="preserve">JUMLAH HARGA BAHAN   </v>
          </cell>
        </row>
        <row r="160">
          <cell r="A160" t="str">
            <v>C.</v>
          </cell>
          <cell r="C160" t="str">
            <v>PERALATAN</v>
          </cell>
        </row>
        <row r="162">
          <cell r="A162" t="str">
            <v>1.</v>
          </cell>
          <cell r="C162" t="str">
            <v>Asp. Sprayer</v>
          </cell>
          <cell r="D162" t="str">
            <v>(E03)</v>
          </cell>
          <cell r="E162" t="str">
            <v>Jam</v>
          </cell>
        </row>
        <row r="163">
          <cell r="A163" t="str">
            <v>2.</v>
          </cell>
          <cell r="C163" t="str">
            <v>Compressor</v>
          </cell>
          <cell r="D163" t="str">
            <v>(E05)</v>
          </cell>
          <cell r="E163" t="str">
            <v>Jam</v>
          </cell>
        </row>
        <row r="164">
          <cell r="A164" t="str">
            <v>3.</v>
          </cell>
          <cell r="C164" t="str">
            <v>Dump Truck</v>
          </cell>
          <cell r="D164" t="str">
            <v>(E08)</v>
          </cell>
          <cell r="E164" t="str">
            <v>Jam</v>
          </cell>
        </row>
        <row r="170">
          <cell r="F170" t="str">
            <v xml:space="preserve">JUMLAH HARGA PERALATAN   </v>
          </cell>
        </row>
        <row r="172">
          <cell r="A172" t="str">
            <v>D.</v>
          </cell>
          <cell r="C172" t="str">
            <v>JUMLAH HARGA TENAGA, BAHAN DAN PERALATAN  ( A + B + C )</v>
          </cell>
        </row>
        <row r="173">
          <cell r="A173" t="str">
            <v>E.</v>
          </cell>
          <cell r="C173" t="str">
            <v>OVERHEAD &amp; PROFIT</v>
          </cell>
          <cell r="E173">
            <v>10</v>
          </cell>
          <cell r="F173" t="str">
            <v>%  x  D</v>
          </cell>
        </row>
        <row r="174">
          <cell r="A174" t="str">
            <v>F.</v>
          </cell>
          <cell r="C174" t="str">
            <v>HARGA SATUAN PEKERJAAN  ( D + E ) DIBULATKAN</v>
          </cell>
        </row>
        <row r="175">
          <cell r="A175" t="str">
            <v>Note: 1</v>
          </cell>
          <cell r="C175" t="str">
            <v>SATUAN dapat berdasarkan atas jam operasi untuk Tenaga Kerja dan Peralatan, volume dan/atau ukuran</v>
          </cell>
        </row>
        <row r="176">
          <cell r="C176" t="str">
            <v>berat untuk bahan-bahan.</v>
          </cell>
        </row>
        <row r="177">
          <cell r="A177">
            <v>2</v>
          </cell>
          <cell r="C177" t="str">
            <v>Kuantitas satuan adalah kuantitas setiap komponen untuk menyelesaikan satu satuan pekerjaan dari nomor</v>
          </cell>
        </row>
        <row r="178">
          <cell r="C178" t="str">
            <v>mata pembayaran.</v>
          </cell>
        </row>
        <row r="179">
          <cell r="A179">
            <v>3</v>
          </cell>
          <cell r="C179" t="str">
            <v>Biaya satuan untuk peralatan sudah termasuk bahan bakar, bahan habis dipakai dan operator.</v>
          </cell>
        </row>
        <row r="180">
          <cell r="A180">
            <v>4</v>
          </cell>
          <cell r="C180" t="str">
            <v>Biaya satuan sudah termasuk pengeluaran untuk seluruh pajak yang berkaitan (tetapi tidak termasuk PPN</v>
          </cell>
        </row>
        <row r="181">
          <cell r="C181" t="str">
            <v>yang dibayar dari kontrak) dan biaya-biaya lainnya.</v>
          </cell>
        </row>
        <row r="241">
          <cell r="I241" t="str">
            <v>Analisa EI-621</v>
          </cell>
        </row>
        <row r="243">
          <cell r="A243" t="str">
            <v>FORMULIR STANDAR UNTUK</v>
          </cell>
        </row>
        <row r="244">
          <cell r="A244" t="str">
            <v>PEREKAMAN ANALISA MASING-MASING HARGA SATUAN</v>
          </cell>
        </row>
        <row r="245">
          <cell r="A245">
            <v>0</v>
          </cell>
        </row>
        <row r="247">
          <cell r="A247" t="str">
            <v>Kegiatan</v>
          </cell>
          <cell r="D247" t="str">
            <v>: Pembangunan Jalan Dinas Bina Marga dan Cipta Karya Prov. NAD</v>
          </cell>
        </row>
        <row r="248">
          <cell r="A248" t="str">
            <v>Nama Paket</v>
          </cell>
          <cell r="D248" t="str">
            <v>: ………….………………………………..</v>
          </cell>
        </row>
        <row r="249">
          <cell r="A249" t="str">
            <v>Nomor Paket</v>
          </cell>
          <cell r="D249" t="str">
            <v>: ………….………………………………..</v>
          </cell>
        </row>
        <row r="250">
          <cell r="A250" t="str">
            <v>Tahun Anggaran</v>
          </cell>
          <cell r="D250" t="str">
            <v>: 2009</v>
          </cell>
        </row>
        <row r="251">
          <cell r="A251" t="str">
            <v>Prop / Kab / Kodya</v>
          </cell>
          <cell r="D251" t="str">
            <v>: ………….………………………………..</v>
          </cell>
        </row>
        <row r="252">
          <cell r="A252" t="str">
            <v>ITEM PEMBAYARAN NO.</v>
          </cell>
          <cell r="D252" t="str">
            <v>:  6.2 (1)</v>
          </cell>
          <cell r="G252" t="str">
            <v>PERKIRAAN VOL. PEK.</v>
          </cell>
          <cell r="I252" t="str">
            <v>:</v>
          </cell>
        </row>
        <row r="253">
          <cell r="A253" t="str">
            <v>JENIS PEKERJAAN</v>
          </cell>
          <cell r="D253" t="str">
            <v>:  Agregat Penutup BURTU</v>
          </cell>
          <cell r="G253" t="str">
            <v>TOTAL HARGA (Rp.)</v>
          </cell>
          <cell r="I253" t="str">
            <v>:</v>
          </cell>
        </row>
        <row r="254">
          <cell r="A254" t="str">
            <v>SATUAN PEMBAYARAN</v>
          </cell>
          <cell r="D254" t="str">
            <v>:  M2</v>
          </cell>
          <cell r="G254" t="str">
            <v>% THD. BIAYA PROYEK</v>
          </cell>
          <cell r="I254" t="str">
            <v>:</v>
          </cell>
        </row>
        <row r="257">
          <cell r="F257" t="str">
            <v>PERKIRAAN</v>
          </cell>
          <cell r="G257" t="str">
            <v>HARGA</v>
          </cell>
          <cell r="H257" t="str">
            <v>JUMLAH</v>
          </cell>
        </row>
        <row r="258">
          <cell r="A258" t="str">
            <v>NO.</v>
          </cell>
          <cell r="C258" t="str">
            <v>KOMPONEN</v>
          </cell>
          <cell r="E258" t="str">
            <v>SATUAN</v>
          </cell>
          <cell r="F258" t="str">
            <v>KUANTITAS</v>
          </cell>
          <cell r="G258" t="str">
            <v>SATUAN</v>
          </cell>
          <cell r="H258" t="str">
            <v>HARGA</v>
          </cell>
        </row>
        <row r="259">
          <cell r="G259" t="str">
            <v>(Rp.)</v>
          </cell>
          <cell r="H259" t="str">
            <v>(Rp.)</v>
          </cell>
        </row>
        <row r="262">
          <cell r="A262" t="str">
            <v>A.</v>
          </cell>
          <cell r="C262" t="str">
            <v>TENAGA</v>
          </cell>
        </row>
        <row r="264">
          <cell r="A264" t="str">
            <v>1.</v>
          </cell>
          <cell r="C264" t="str">
            <v>Pekerja</v>
          </cell>
          <cell r="D264" t="str">
            <v>(L01)</v>
          </cell>
          <cell r="E264" t="str">
            <v>Jam</v>
          </cell>
        </row>
        <row r="265">
          <cell r="A265" t="str">
            <v>2.</v>
          </cell>
          <cell r="C265" t="str">
            <v>Mandor</v>
          </cell>
          <cell r="D265" t="str">
            <v>(L02)</v>
          </cell>
          <cell r="E265" t="str">
            <v>Jam</v>
          </cell>
        </row>
        <row r="268">
          <cell r="F268" t="str">
            <v xml:space="preserve">JUMLAH HARGA TENAGA   </v>
          </cell>
        </row>
        <row r="270">
          <cell r="A270" t="str">
            <v>B.</v>
          </cell>
          <cell r="C270" t="str">
            <v>BAHAN</v>
          </cell>
        </row>
        <row r="272">
          <cell r="A272" t="str">
            <v>1.</v>
          </cell>
          <cell r="C272" t="str">
            <v>Chipping</v>
          </cell>
          <cell r="D272" t="str">
            <v>(M41)</v>
          </cell>
          <cell r="E272" t="str">
            <v>Kg</v>
          </cell>
          <cell r="F272">
            <v>33</v>
          </cell>
        </row>
        <row r="278">
          <cell r="F278" t="str">
            <v xml:space="preserve">JUMLAH HARGA BAHAN   </v>
          </cell>
        </row>
        <row r="280">
          <cell r="A280" t="str">
            <v>C.</v>
          </cell>
          <cell r="C280" t="str">
            <v>PERALATAN</v>
          </cell>
        </row>
        <row r="282">
          <cell r="A282" t="str">
            <v>1.</v>
          </cell>
          <cell r="C282" t="str">
            <v>Wheel Loader</v>
          </cell>
          <cell r="D282" t="str">
            <v>(E15)</v>
          </cell>
          <cell r="E282" t="str">
            <v>Jam</v>
          </cell>
        </row>
        <row r="283">
          <cell r="A283" t="str">
            <v>2.</v>
          </cell>
          <cell r="C283" t="str">
            <v>Dump Truck</v>
          </cell>
          <cell r="D283" t="str">
            <v>(E08)</v>
          </cell>
          <cell r="E283" t="str">
            <v>Jam</v>
          </cell>
        </row>
        <row r="284">
          <cell r="A284" t="str">
            <v>3.</v>
          </cell>
          <cell r="C284" t="str">
            <v>P. Tyre Roller</v>
          </cell>
          <cell r="D284" t="str">
            <v>(E18)</v>
          </cell>
          <cell r="E284" t="str">
            <v>Jam</v>
          </cell>
        </row>
        <row r="285">
          <cell r="A285" t="str">
            <v>4.</v>
          </cell>
          <cell r="C285" t="str">
            <v>Alat Bantu</v>
          </cell>
          <cell r="E285" t="str">
            <v>Ls</v>
          </cell>
        </row>
        <row r="290">
          <cell r="F290" t="str">
            <v xml:space="preserve">JUMLAH HARGA PERALATAN   </v>
          </cell>
        </row>
        <row r="292">
          <cell r="A292" t="str">
            <v>D.</v>
          </cell>
          <cell r="C292" t="str">
            <v>JUMLAH HARGA TENAGA, BAHAN DAN PERALATAN  ( A + B + C )</v>
          </cell>
        </row>
        <row r="293">
          <cell r="A293" t="str">
            <v>E.</v>
          </cell>
          <cell r="C293" t="str">
            <v>OVERHEAD &amp; PROFIT</v>
          </cell>
          <cell r="E293">
            <v>10</v>
          </cell>
          <cell r="F293" t="str">
            <v>%  x  D</v>
          </cell>
        </row>
        <row r="294">
          <cell r="A294" t="str">
            <v>F.</v>
          </cell>
          <cell r="C294" t="str">
            <v>HARGA SATUAN PEKERJAAN  ( D + E ) DIBULATKAN</v>
          </cell>
        </row>
        <row r="295">
          <cell r="A295" t="str">
            <v>Note: 1</v>
          </cell>
          <cell r="C295" t="str">
            <v>SATUAN dapat berdasarkan atas jam operasi untuk Tenaga Kerja dan Peralatan, volume dan/atau ukuran</v>
          </cell>
        </row>
        <row r="296">
          <cell r="C296" t="str">
            <v>berat untuk bahan-bahan.</v>
          </cell>
        </row>
        <row r="297">
          <cell r="A297">
            <v>2</v>
          </cell>
          <cell r="C297" t="str">
            <v>Kuantitas satuan adalah kuantitas setiap komponen untuk menyelesaikan satu satuan pekerjaan dari nomor</v>
          </cell>
        </row>
        <row r="298">
          <cell r="C298" t="str">
            <v>mata pembayaran.</v>
          </cell>
        </row>
        <row r="299">
          <cell r="A299">
            <v>3</v>
          </cell>
          <cell r="C299" t="str">
            <v>Biaya satuan untuk peralatan sudah termasuk bahan bakar, bahan habis dipakai dan operator.</v>
          </cell>
        </row>
        <row r="300">
          <cell r="A300">
            <v>4</v>
          </cell>
          <cell r="C300" t="str">
            <v>Biaya satuan sudah termasuk pengeluaran untuk seluruh pajak yang berkaitan (tetapi tidak termasuk PPN</v>
          </cell>
        </row>
        <row r="301">
          <cell r="C301" t="str">
            <v>yang dibayar dari kontrak) dan biaya-biaya lainnya.</v>
          </cell>
        </row>
        <row r="420">
          <cell r="I420" t="str">
            <v>Analisa EI-622</v>
          </cell>
        </row>
        <row r="422">
          <cell r="A422" t="str">
            <v>FORMULIR STANDAR UNTUK</v>
          </cell>
        </row>
        <row r="423">
          <cell r="A423" t="str">
            <v>PEREKAMAN ANALISA MASING-MASING HARGA SATUAN</v>
          </cell>
        </row>
        <row r="424">
          <cell r="A424">
            <v>0</v>
          </cell>
        </row>
        <row r="426">
          <cell r="A426" t="str">
            <v>Kegiatan</v>
          </cell>
          <cell r="D426" t="str">
            <v>: Pembangunan Jalan Dinas Bina Marga dan Cipta Karya Prov. NAD</v>
          </cell>
        </row>
        <row r="427">
          <cell r="A427" t="str">
            <v>Nama Paket</v>
          </cell>
          <cell r="D427" t="str">
            <v>: ………….………………………………..</v>
          </cell>
        </row>
        <row r="428">
          <cell r="A428" t="str">
            <v>Nomor Paket</v>
          </cell>
          <cell r="D428" t="str">
            <v>: ………….………………………………..</v>
          </cell>
        </row>
        <row r="429">
          <cell r="A429" t="str">
            <v>Tahun Anggaran</v>
          </cell>
          <cell r="D429" t="str">
            <v>: 2009</v>
          </cell>
        </row>
        <row r="430">
          <cell r="A430" t="str">
            <v>Prop / Kab / Kodya</v>
          </cell>
          <cell r="D430" t="str">
            <v>: ………….………………………………..</v>
          </cell>
        </row>
        <row r="431">
          <cell r="A431" t="str">
            <v>ITEM PEMBAYARAN NO.</v>
          </cell>
          <cell r="D431" t="str">
            <v>:  6.2 (2)</v>
          </cell>
          <cell r="G431" t="str">
            <v>PERKIRAAN VOL. PEK.</v>
          </cell>
          <cell r="I431" t="str">
            <v>:</v>
          </cell>
        </row>
        <row r="432">
          <cell r="A432" t="str">
            <v>JENIS PEKERJAAN</v>
          </cell>
          <cell r="D432" t="str">
            <v>:  Agregat Penutup BURDA</v>
          </cell>
          <cell r="G432" t="str">
            <v>TOTAL HARGA (Rp.)</v>
          </cell>
          <cell r="I432" t="str">
            <v>:</v>
          </cell>
        </row>
        <row r="433">
          <cell r="A433" t="str">
            <v>SATUAN PEMBAYARAN</v>
          </cell>
          <cell r="D433" t="str">
            <v>:  M2</v>
          </cell>
          <cell r="G433" t="str">
            <v>% THD. BIAYA PROYEK</v>
          </cell>
          <cell r="I433" t="str">
            <v>:</v>
          </cell>
        </row>
        <row r="436">
          <cell r="F436" t="str">
            <v>PERKIRAAN</v>
          </cell>
          <cell r="G436" t="str">
            <v>HARGA</v>
          </cell>
          <cell r="H436" t="str">
            <v>JUMLAH</v>
          </cell>
        </row>
        <row r="437">
          <cell r="A437" t="str">
            <v>NO.</v>
          </cell>
          <cell r="C437" t="str">
            <v>KOMPONEN</v>
          </cell>
          <cell r="E437" t="str">
            <v>SATUAN</v>
          </cell>
          <cell r="F437" t="str">
            <v>KUANTITAS</v>
          </cell>
          <cell r="G437" t="str">
            <v>SATUAN</v>
          </cell>
          <cell r="H437" t="str">
            <v>HARGA</v>
          </cell>
        </row>
        <row r="438">
          <cell r="G438" t="str">
            <v>(Rp.)</v>
          </cell>
          <cell r="H438" t="str">
            <v>(Rp.)</v>
          </cell>
        </row>
        <row r="441">
          <cell r="A441" t="str">
            <v>A.</v>
          </cell>
          <cell r="C441" t="str">
            <v>TENAGA</v>
          </cell>
        </row>
        <row r="443">
          <cell r="A443" t="str">
            <v>1.</v>
          </cell>
          <cell r="C443" t="str">
            <v>Pekerja</v>
          </cell>
          <cell r="D443" t="str">
            <v>(L01)</v>
          </cell>
          <cell r="E443" t="str">
            <v>Jam</v>
          </cell>
        </row>
        <row r="444">
          <cell r="A444" t="str">
            <v>2.</v>
          </cell>
          <cell r="C444" t="str">
            <v>Mandor</v>
          </cell>
          <cell r="D444" t="str">
            <v>(L03)</v>
          </cell>
          <cell r="E444" t="str">
            <v>Jam</v>
          </cell>
        </row>
        <row r="447">
          <cell r="F447" t="str">
            <v xml:space="preserve">JUMLAH HARGA TENAGA   </v>
          </cell>
        </row>
        <row r="449">
          <cell r="A449" t="str">
            <v>B.</v>
          </cell>
          <cell r="C449" t="str">
            <v>BAHAN</v>
          </cell>
        </row>
        <row r="451">
          <cell r="A451" t="str">
            <v>1.</v>
          </cell>
          <cell r="C451" t="str">
            <v>Chipping</v>
          </cell>
          <cell r="D451" t="str">
            <v>(M41)</v>
          </cell>
          <cell r="E451" t="str">
            <v>Kg</v>
          </cell>
          <cell r="F451">
            <v>35</v>
          </cell>
        </row>
        <row r="457">
          <cell r="F457" t="str">
            <v xml:space="preserve">JUMLAH HARGA BAHAN   </v>
          </cell>
        </row>
        <row r="459">
          <cell r="A459" t="str">
            <v>C.</v>
          </cell>
          <cell r="C459" t="str">
            <v>PERALATAN</v>
          </cell>
        </row>
        <row r="461">
          <cell r="A461" t="str">
            <v>1.</v>
          </cell>
          <cell r="C461" t="str">
            <v>Wheel Loader</v>
          </cell>
          <cell r="D461" t="str">
            <v>(E15)</v>
          </cell>
          <cell r="E461" t="str">
            <v>Jam</v>
          </cell>
        </row>
        <row r="462">
          <cell r="A462" t="str">
            <v>2.</v>
          </cell>
          <cell r="C462" t="str">
            <v>Dump Truck</v>
          </cell>
          <cell r="D462" t="str">
            <v>(E08)</v>
          </cell>
          <cell r="E462" t="str">
            <v>Jam</v>
          </cell>
        </row>
        <row r="463">
          <cell r="A463" t="str">
            <v>3.</v>
          </cell>
          <cell r="C463" t="str">
            <v>P. Tyre Roller</v>
          </cell>
          <cell r="D463" t="str">
            <v>(E18)</v>
          </cell>
          <cell r="E463" t="str">
            <v>Jam</v>
          </cell>
        </row>
        <row r="464">
          <cell r="A464" t="str">
            <v>4.</v>
          </cell>
          <cell r="C464" t="str">
            <v>Alat Bantu</v>
          </cell>
          <cell r="E464" t="str">
            <v>Ls</v>
          </cell>
        </row>
        <row r="469">
          <cell r="F469" t="str">
            <v xml:space="preserve">JUMLAH HARGA PERALATAN   </v>
          </cell>
        </row>
        <row r="471">
          <cell r="A471" t="str">
            <v>D.</v>
          </cell>
          <cell r="C471" t="str">
            <v>JUMLAH HARGA TENAGA, BAHAN DAN PERALATAN  ( A + B + C )</v>
          </cell>
        </row>
        <row r="472">
          <cell r="A472" t="str">
            <v>E.</v>
          </cell>
          <cell r="C472" t="str">
            <v>OVERHEAD &amp; PROFIT</v>
          </cell>
          <cell r="E472">
            <v>10</v>
          </cell>
          <cell r="F472" t="str">
            <v>%  x  D</v>
          </cell>
        </row>
        <row r="473">
          <cell r="A473" t="str">
            <v>F.</v>
          </cell>
          <cell r="C473" t="str">
            <v>HARGA SATUAN PEKERJAAN  ( D + E ) DIBULATKAN</v>
          </cell>
        </row>
        <row r="474">
          <cell r="A474" t="str">
            <v>Note: 1</v>
          </cell>
          <cell r="C474" t="str">
            <v>SATUAN dapat berdasarkan atas jam operasi untuk Tenaga Kerja dan Peralatan, volume dan/atau ukuran</v>
          </cell>
        </row>
        <row r="475">
          <cell r="C475" t="str">
            <v>berat untuk bahan-bahan.</v>
          </cell>
        </row>
        <row r="476">
          <cell r="A476">
            <v>2</v>
          </cell>
          <cell r="C476" t="str">
            <v>Kuantitas satuan adalah kuantitas setiap komponen untuk menyelesaikan satu satuan pekerjaan dari nomor</v>
          </cell>
        </row>
        <row r="477">
          <cell r="C477" t="str">
            <v>mata pembayaran.</v>
          </cell>
        </row>
        <row r="478">
          <cell r="A478">
            <v>3</v>
          </cell>
          <cell r="C478" t="str">
            <v>Biaya satuan untuk peralatan sudah termasuk bahan bakar, bahan habis dipakai dan operator.</v>
          </cell>
        </row>
        <row r="479">
          <cell r="A479">
            <v>4</v>
          </cell>
          <cell r="C479" t="str">
            <v>Biaya satuan sudah termasuk pengeluaran untuk seluruh pajak yang berkaitan (tetapi tidak termasuk PPN</v>
          </cell>
        </row>
        <row r="480">
          <cell r="C480" t="str">
            <v>yang dibayar dari kontrak) dan biaya-biaya lainnya.</v>
          </cell>
        </row>
        <row r="599">
          <cell r="I599" t="str">
            <v>Analisa EI-623</v>
          </cell>
        </row>
        <row r="601">
          <cell r="A601" t="str">
            <v>FORMULIR STANDAR UNTUK</v>
          </cell>
        </row>
        <row r="602">
          <cell r="A602" t="str">
            <v>PEREKAMAN ANALISA MASING-MASING HARGA SATUAN</v>
          </cell>
        </row>
        <row r="603">
          <cell r="A603">
            <v>0</v>
          </cell>
        </row>
        <row r="605">
          <cell r="A605" t="str">
            <v>Kegiatan</v>
          </cell>
          <cell r="D605" t="str">
            <v>: Pembangunan Jalan Dinas Bina Marga dan Cipta Karya Prov. NAD</v>
          </cell>
        </row>
        <row r="606">
          <cell r="A606" t="str">
            <v>Nama Paket</v>
          </cell>
          <cell r="D606" t="str">
            <v>: ………….………………………………..</v>
          </cell>
        </row>
        <row r="607">
          <cell r="A607" t="str">
            <v>Nomor Paket</v>
          </cell>
          <cell r="D607" t="str">
            <v>: ………….………………………………..</v>
          </cell>
        </row>
        <row r="608">
          <cell r="A608" t="str">
            <v>Tahun Anggaran</v>
          </cell>
          <cell r="D608" t="str">
            <v>: 2009</v>
          </cell>
        </row>
        <row r="609">
          <cell r="A609" t="str">
            <v>Prop / Kab / Kodya</v>
          </cell>
          <cell r="D609" t="str">
            <v>: ………….………………………………..</v>
          </cell>
        </row>
        <row r="610">
          <cell r="A610" t="str">
            <v>ITEM PEMBAYARAN NO.</v>
          </cell>
          <cell r="D610" t="str">
            <v>:  6.2 (3)</v>
          </cell>
          <cell r="G610" t="str">
            <v>PERKIRAAN VOL. PEK.</v>
          </cell>
          <cell r="I610" t="str">
            <v>:</v>
          </cell>
        </row>
        <row r="611">
          <cell r="A611" t="str">
            <v>JENIS PEKERJAAN</v>
          </cell>
          <cell r="D611" t="str">
            <v>:  Aspal Utk. Pekejaan Pelaburan</v>
          </cell>
          <cell r="G611" t="str">
            <v>TOTAL HARGA (Rp.)</v>
          </cell>
          <cell r="I611" t="str">
            <v>:</v>
          </cell>
        </row>
        <row r="612">
          <cell r="A612" t="str">
            <v>SATUAN PEMBAYARAN</v>
          </cell>
          <cell r="D612" t="str">
            <v>:  LITER</v>
          </cell>
          <cell r="G612" t="str">
            <v>% THD. BIAYA PROYEK</v>
          </cell>
          <cell r="I612" t="str">
            <v>:</v>
          </cell>
        </row>
        <row r="615">
          <cell r="F615" t="str">
            <v>PERKIRAAN</v>
          </cell>
          <cell r="G615" t="str">
            <v>HARGA</v>
          </cell>
          <cell r="H615" t="str">
            <v>JUMLAH</v>
          </cell>
        </row>
        <row r="616">
          <cell r="A616" t="str">
            <v>NO.</v>
          </cell>
          <cell r="C616" t="str">
            <v>KOMPONEN</v>
          </cell>
          <cell r="E616" t="str">
            <v>SATUAN</v>
          </cell>
          <cell r="F616" t="str">
            <v>KUANTITAS</v>
          </cell>
          <cell r="G616" t="str">
            <v>SATUAN</v>
          </cell>
          <cell r="H616" t="str">
            <v>HARGA</v>
          </cell>
        </row>
        <row r="617">
          <cell r="G617" t="str">
            <v>(Rp.)</v>
          </cell>
          <cell r="H617" t="str">
            <v>(Rp.)</v>
          </cell>
        </row>
        <row r="620">
          <cell r="A620" t="str">
            <v>A.</v>
          </cell>
          <cell r="C620" t="str">
            <v>TENAGA</v>
          </cell>
        </row>
        <row r="622">
          <cell r="A622" t="str">
            <v>1.</v>
          </cell>
          <cell r="C622" t="str">
            <v>Pekerja</v>
          </cell>
          <cell r="D622" t="str">
            <v>(L01)</v>
          </cell>
          <cell r="E622" t="str">
            <v>Jam</v>
          </cell>
        </row>
        <row r="623">
          <cell r="A623" t="str">
            <v>2.</v>
          </cell>
          <cell r="C623" t="str">
            <v>Mandor</v>
          </cell>
          <cell r="D623" t="str">
            <v>(L03)</v>
          </cell>
          <cell r="E623" t="str">
            <v>Jam</v>
          </cell>
        </row>
        <row r="626">
          <cell r="F626" t="str">
            <v xml:space="preserve">JUMLAH HARGA TENAGA   </v>
          </cell>
        </row>
        <row r="628">
          <cell r="A628" t="str">
            <v>B.</v>
          </cell>
          <cell r="C628" t="str">
            <v>BAHAN</v>
          </cell>
        </row>
        <row r="629">
          <cell r="F629">
            <v>0</v>
          </cell>
        </row>
        <row r="630">
          <cell r="A630" t="str">
            <v>1.</v>
          </cell>
          <cell r="C630" t="str">
            <v>Aspal</v>
          </cell>
          <cell r="D630" t="str">
            <v>(M10)</v>
          </cell>
          <cell r="E630" t="str">
            <v>Kg</v>
          </cell>
          <cell r="F630">
            <v>1.079047619047619</v>
          </cell>
        </row>
        <row r="631">
          <cell r="A631" t="str">
            <v>2.</v>
          </cell>
          <cell r="C631" t="str">
            <v>Minyak Tanah</v>
          </cell>
          <cell r="D631" t="str">
            <v>(M11)</v>
          </cell>
          <cell r="E631" t="str">
            <v>Liter</v>
          </cell>
          <cell r="F631">
            <v>5.2380952380952514E-2</v>
          </cell>
        </row>
        <row r="636">
          <cell r="F636" t="str">
            <v xml:space="preserve">JUMLAH HARGA BAHAN   </v>
          </cell>
        </row>
        <row r="638">
          <cell r="A638" t="str">
            <v>C.</v>
          </cell>
          <cell r="C638" t="str">
            <v>PERALATAN</v>
          </cell>
        </row>
        <row r="640">
          <cell r="A640" t="str">
            <v>1.</v>
          </cell>
          <cell r="C640" t="str">
            <v>Asp. Sprayer</v>
          </cell>
          <cell r="D640" t="str">
            <v>(E03)</v>
          </cell>
          <cell r="E640" t="str">
            <v>Jam</v>
          </cell>
        </row>
        <row r="641">
          <cell r="A641" t="str">
            <v>2.</v>
          </cell>
          <cell r="C641" t="str">
            <v>Compresor</v>
          </cell>
          <cell r="D641" t="str">
            <v>(E05)</v>
          </cell>
          <cell r="E641" t="str">
            <v>Jam</v>
          </cell>
        </row>
        <row r="642">
          <cell r="A642" t="str">
            <v>3.</v>
          </cell>
          <cell r="C642" t="str">
            <v>Dump Truck</v>
          </cell>
          <cell r="D642" t="str">
            <v>(E08)</v>
          </cell>
          <cell r="E642" t="str">
            <v>Jam</v>
          </cell>
        </row>
        <row r="648">
          <cell r="F648" t="str">
            <v xml:space="preserve">JUMLAH HARGA PERALATAN   </v>
          </cell>
        </row>
        <row r="650">
          <cell r="A650" t="str">
            <v>D.</v>
          </cell>
          <cell r="C650" t="str">
            <v>JUMLAH HARGA TENAGA, BAHAN DAN PERALATAN  ( A + B + C )</v>
          </cell>
        </row>
        <row r="651">
          <cell r="A651" t="str">
            <v>E.</v>
          </cell>
          <cell r="C651" t="str">
            <v>OVERHEAD &amp; PROFIT</v>
          </cell>
          <cell r="E651">
            <v>10</v>
          </cell>
          <cell r="F651" t="str">
            <v>%  x  D</v>
          </cell>
        </row>
        <row r="652">
          <cell r="A652" t="str">
            <v>F.</v>
          </cell>
          <cell r="C652" t="str">
            <v>HARGA SATUAN PEKERJAAN  ( D + E ) DIBULATKAN</v>
          </cell>
        </row>
        <row r="653">
          <cell r="A653" t="str">
            <v>Note: 1</v>
          </cell>
          <cell r="C653" t="str">
            <v>SATUAN dapat berdasarkan atas jam operasi untuk Tenaga Kerja dan Peralatan, volume dan/atau ukuran</v>
          </cell>
        </row>
        <row r="654">
          <cell r="C654" t="str">
            <v>berat untuk bahan-bahan.</v>
          </cell>
        </row>
        <row r="655">
          <cell r="A655">
            <v>2</v>
          </cell>
          <cell r="C655" t="str">
            <v>Kuantitas satuan adalah kuantitas setiap komponen untuk menyelesaikan satu satuan pekerjaan dari nomor</v>
          </cell>
        </row>
        <row r="656">
          <cell r="C656" t="str">
            <v>mata pembayaran.</v>
          </cell>
        </row>
        <row r="657">
          <cell r="A657">
            <v>3</v>
          </cell>
          <cell r="C657" t="str">
            <v>Biaya satuan untuk peralatan sudah termasuk bahan bakar, bahan habis dipakai dan operator.</v>
          </cell>
        </row>
        <row r="658">
          <cell r="A658">
            <v>4</v>
          </cell>
          <cell r="C658" t="str">
            <v>Biaya satuan sudah termasuk pengeluaran untuk seluruh pajak yang berkaitan (tetapi tidak termasuk PPN</v>
          </cell>
        </row>
        <row r="659">
          <cell r="C659" t="str">
            <v>yang dibayar dari kontrak) dan biaya-biaya lainnya.</v>
          </cell>
        </row>
        <row r="719">
          <cell r="I719" t="str">
            <v>Analisa EI-631</v>
          </cell>
        </row>
        <row r="721">
          <cell r="A721" t="str">
            <v>FORMULIR STANDAR UNTUK</v>
          </cell>
        </row>
        <row r="722">
          <cell r="A722" t="str">
            <v>PEREKAMAN ANALISA MASING-MASING HARGA SATUAN</v>
          </cell>
        </row>
        <row r="723">
          <cell r="A723">
            <v>0</v>
          </cell>
        </row>
        <row r="725">
          <cell r="A725" t="str">
            <v>Kegiatan</v>
          </cell>
          <cell r="D725" t="str">
            <v>: Pembangunan Jalan Dinas Bina Marga dan Cipta Karya Prov. NAD</v>
          </cell>
        </row>
        <row r="726">
          <cell r="A726" t="str">
            <v>Nama Paket</v>
          </cell>
          <cell r="D726" t="str">
            <v>: ………….………………………………..</v>
          </cell>
        </row>
        <row r="727">
          <cell r="A727" t="str">
            <v>Nomor Paket</v>
          </cell>
          <cell r="D727" t="str">
            <v>: ………….………………………………..</v>
          </cell>
        </row>
        <row r="728">
          <cell r="A728" t="str">
            <v>Tahun Anggaran</v>
          </cell>
          <cell r="D728" t="str">
            <v>: 2009</v>
          </cell>
        </row>
        <row r="729">
          <cell r="A729" t="str">
            <v>Prop / Kab / Kodya</v>
          </cell>
          <cell r="D729" t="str">
            <v>: ………….………………………………..</v>
          </cell>
        </row>
        <row r="730">
          <cell r="A730" t="str">
            <v>ITEM PEMBAYARAN NO.</v>
          </cell>
          <cell r="D730" t="str">
            <v>:  6.3 (1)</v>
          </cell>
          <cell r="G730" t="str">
            <v>PERKIRAAN VOL. PEK.</v>
          </cell>
          <cell r="I730" t="str">
            <v>:</v>
          </cell>
        </row>
        <row r="731">
          <cell r="A731" t="str">
            <v>JENIS PEKERJAAN</v>
          </cell>
          <cell r="D731" t="str">
            <v>:  Latasir (SS) Kelas A</v>
          </cell>
          <cell r="G731" t="str">
            <v>TOTAL HARGA (Rp.)</v>
          </cell>
          <cell r="I731" t="str">
            <v>:</v>
          </cell>
        </row>
        <row r="732">
          <cell r="A732" t="str">
            <v>SATUAN PEMBAYARAN</v>
          </cell>
          <cell r="D732" t="str">
            <v>:  M2</v>
          </cell>
          <cell r="G732" t="str">
            <v>% THD. BIAYA PROYEK</v>
          </cell>
          <cell r="I732" t="str">
            <v>:</v>
          </cell>
        </row>
        <row r="735">
          <cell r="F735" t="str">
            <v>PERKIRAAN</v>
          </cell>
          <cell r="G735" t="str">
            <v>HARGA</v>
          </cell>
          <cell r="H735" t="str">
            <v>JUMLAH</v>
          </cell>
        </row>
        <row r="736">
          <cell r="A736" t="str">
            <v>NO.</v>
          </cell>
          <cell r="C736" t="str">
            <v>KOMPONEN</v>
          </cell>
          <cell r="E736" t="str">
            <v>SATUAN</v>
          </cell>
          <cell r="F736" t="str">
            <v>KUANTITAS</v>
          </cell>
          <cell r="G736" t="str">
            <v>SATUAN</v>
          </cell>
          <cell r="H736" t="str">
            <v>HARGA</v>
          </cell>
        </row>
        <row r="737">
          <cell r="G737" t="str">
            <v>(Rp.)</v>
          </cell>
          <cell r="H737" t="str">
            <v>(Rp.)</v>
          </cell>
        </row>
        <row r="740">
          <cell r="A740" t="str">
            <v>A.</v>
          </cell>
          <cell r="C740" t="str">
            <v>TENAGA</v>
          </cell>
        </row>
        <row r="742">
          <cell r="A742" t="str">
            <v>1.</v>
          </cell>
          <cell r="C742" t="str">
            <v>Pekerja</v>
          </cell>
          <cell r="D742" t="str">
            <v>(L01)</v>
          </cell>
          <cell r="E742" t="str">
            <v>Jam</v>
          </cell>
        </row>
        <row r="743">
          <cell r="A743" t="str">
            <v>2.</v>
          </cell>
          <cell r="C743" t="str">
            <v>Mandor</v>
          </cell>
          <cell r="D743" t="str">
            <v>(L03)</v>
          </cell>
          <cell r="E743" t="str">
            <v>Jam</v>
          </cell>
        </row>
        <row r="746">
          <cell r="F746" t="str">
            <v xml:space="preserve">JUMLAH HARGA TENAGA   </v>
          </cell>
        </row>
        <row r="748">
          <cell r="A748" t="str">
            <v>B.</v>
          </cell>
          <cell r="C748" t="str">
            <v>BAHAN</v>
          </cell>
        </row>
        <row r="750">
          <cell r="A750" t="str">
            <v>1.</v>
          </cell>
          <cell r="C750" t="str">
            <v>Agregat Kasar</v>
          </cell>
          <cell r="D750" t="str">
            <v>(M03)</v>
          </cell>
          <cell r="E750" t="str">
            <v>M3</v>
          </cell>
          <cell r="F750">
            <v>1.5014999999999998E-3</v>
          </cell>
        </row>
        <row r="751">
          <cell r="A751" t="str">
            <v>2.</v>
          </cell>
          <cell r="C751" t="str">
            <v>Agregat Halus</v>
          </cell>
          <cell r="D751" t="str">
            <v>(M04)</v>
          </cell>
          <cell r="E751" t="str">
            <v>M3</v>
          </cell>
          <cell r="F751">
            <v>1.3474999999999999E-2</v>
          </cell>
        </row>
        <row r="752">
          <cell r="A752" t="str">
            <v>3</v>
          </cell>
          <cell r="C752" t="str">
            <v>Filler</v>
          </cell>
          <cell r="D752" t="str">
            <v>(M05)</v>
          </cell>
          <cell r="E752" t="str">
            <v>Kg</v>
          </cell>
          <cell r="F752">
            <v>4.1580000000000004</v>
          </cell>
        </row>
        <row r="753">
          <cell r="A753" t="str">
            <v>4</v>
          </cell>
          <cell r="C753" t="str">
            <v>Aspal</v>
          </cell>
          <cell r="D753" t="str">
            <v>(M10)</v>
          </cell>
          <cell r="E753" t="str">
            <v>Kg</v>
          </cell>
          <cell r="F753">
            <v>3.46698</v>
          </cell>
        </row>
        <row r="756">
          <cell r="F756" t="str">
            <v xml:space="preserve">JUMLAH HARGA BAHAN   </v>
          </cell>
        </row>
        <row r="758">
          <cell r="A758" t="str">
            <v>C.</v>
          </cell>
          <cell r="C758" t="str">
            <v>PERALATAN</v>
          </cell>
        </row>
        <row r="759">
          <cell r="A759" t="str">
            <v>1.</v>
          </cell>
          <cell r="C759" t="str">
            <v>Wheel Loader</v>
          </cell>
          <cell r="D759" t="str">
            <v>(E15)</v>
          </cell>
          <cell r="E759" t="str">
            <v>Jam</v>
          </cell>
        </row>
        <row r="760">
          <cell r="A760" t="str">
            <v>2.</v>
          </cell>
          <cell r="C760" t="str">
            <v>AMP</v>
          </cell>
          <cell r="D760" t="str">
            <v>(E01)</v>
          </cell>
          <cell r="E760" t="str">
            <v>Jam</v>
          </cell>
        </row>
        <row r="761">
          <cell r="A761" t="str">
            <v>3.</v>
          </cell>
          <cell r="C761" t="str">
            <v>Genset</v>
          </cell>
          <cell r="D761" t="str">
            <v>(E12)</v>
          </cell>
          <cell r="E761" t="str">
            <v>Jam</v>
          </cell>
        </row>
        <row r="762">
          <cell r="A762" t="str">
            <v>4.</v>
          </cell>
          <cell r="C762" t="str">
            <v>Dump Truck</v>
          </cell>
          <cell r="D762" t="str">
            <v>(E09)</v>
          </cell>
          <cell r="E762" t="str">
            <v>Jam</v>
          </cell>
        </row>
        <row r="763">
          <cell r="A763" t="str">
            <v>5.</v>
          </cell>
          <cell r="C763" t="str">
            <v>Asphalt Finisher     (E02)</v>
          </cell>
          <cell r="D763" t="str">
            <v>(E02)</v>
          </cell>
          <cell r="E763" t="str">
            <v>Jam</v>
          </cell>
        </row>
        <row r="764">
          <cell r="A764" t="str">
            <v>6.</v>
          </cell>
          <cell r="C764" t="str">
            <v>Tandem Roller</v>
          </cell>
          <cell r="D764" t="str">
            <v>(E17)</v>
          </cell>
          <cell r="E764" t="str">
            <v>Jam</v>
          </cell>
        </row>
        <row r="765">
          <cell r="A765" t="str">
            <v>7</v>
          </cell>
          <cell r="C765" t="str">
            <v>P. Tyre Roller</v>
          </cell>
          <cell r="D765" t="str">
            <v>(E18)</v>
          </cell>
          <cell r="E765" t="str">
            <v>Jam</v>
          </cell>
        </row>
        <row r="766">
          <cell r="A766" t="str">
            <v>8</v>
          </cell>
          <cell r="C766" t="str">
            <v>Alat Bantu</v>
          </cell>
          <cell r="E766" t="str">
            <v>Ls</v>
          </cell>
        </row>
        <row r="768">
          <cell r="F768" t="str">
            <v xml:space="preserve">JUMLAH HARGA PERALATAN   </v>
          </cell>
        </row>
        <row r="770">
          <cell r="A770" t="str">
            <v>D.</v>
          </cell>
          <cell r="C770" t="str">
            <v>JUMLAH HARGA TENAGA, BAHAN DAN PERALATAN  ( A + B + C )</v>
          </cell>
        </row>
        <row r="771">
          <cell r="A771" t="str">
            <v>E.</v>
          </cell>
          <cell r="C771" t="str">
            <v>OVERHEAD &amp; PROFIT</v>
          </cell>
          <cell r="E771">
            <v>10</v>
          </cell>
          <cell r="F771" t="str">
            <v>%  x  D</v>
          </cell>
        </row>
        <row r="772">
          <cell r="A772" t="str">
            <v>F.</v>
          </cell>
          <cell r="C772" t="str">
            <v>HARGA SATUAN PEKERJAAN  ( D + E ) DIBULATKAN</v>
          </cell>
        </row>
        <row r="773">
          <cell r="A773" t="str">
            <v>Note: 1</v>
          </cell>
          <cell r="C773" t="str">
            <v>SATUAN dapat berdasarkan atas jam operasi untuk Tenaga Kerja dan Peralatan, volume dan/atau ukuran</v>
          </cell>
        </row>
        <row r="774">
          <cell r="C774" t="str">
            <v>berat untuk bahan-bahan.</v>
          </cell>
        </row>
        <row r="775">
          <cell r="A775">
            <v>2</v>
          </cell>
          <cell r="C775" t="str">
            <v>Kuantitas satuan adalah kuantitas setiap komponen untuk menyelesaikan satu satuan pekerjaan dari nomor</v>
          </cell>
        </row>
        <row r="776">
          <cell r="C776" t="str">
            <v>mata pembayaran.</v>
          </cell>
        </row>
        <row r="777">
          <cell r="A777">
            <v>3</v>
          </cell>
          <cell r="C777" t="str">
            <v>Biaya satuan untuk peralatan sudah termasuk bahan bakar, bahan habis dipakai dan operator.</v>
          </cell>
        </row>
        <row r="778">
          <cell r="A778">
            <v>4</v>
          </cell>
          <cell r="C778" t="str">
            <v>Biaya satuan sudah termasuk pengeluaran untuk seluruh pajak yang berkaitan (tetapi tidak termasuk PPN</v>
          </cell>
        </row>
        <row r="779">
          <cell r="C779" t="str">
            <v>yang dibayar dari kontrak) dan biaya-biaya lainnya.</v>
          </cell>
        </row>
        <row r="898">
          <cell r="I898" t="str">
            <v>Analisa EI-632</v>
          </cell>
        </row>
        <row r="900">
          <cell r="A900" t="str">
            <v>FORMULIR STANDAR UNTUK</v>
          </cell>
        </row>
        <row r="901">
          <cell r="A901" t="str">
            <v>PEREKAMAN ANALISA MASING-MASING HARGA SATUAN</v>
          </cell>
        </row>
        <row r="902">
          <cell r="A902">
            <v>0</v>
          </cell>
        </row>
        <row r="904">
          <cell r="A904" t="str">
            <v>Kegiatan</v>
          </cell>
          <cell r="D904" t="str">
            <v>: Pembangunan Jalan Dinas Bina Marga dan Cipta Karya Prov. NAD</v>
          </cell>
        </row>
        <row r="905">
          <cell r="A905" t="str">
            <v>Nama Paket</v>
          </cell>
          <cell r="D905" t="str">
            <v>: ………….………………………………..</v>
          </cell>
        </row>
        <row r="906">
          <cell r="A906" t="str">
            <v>Nomor Paket</v>
          </cell>
          <cell r="D906" t="str">
            <v>: ………….………………………………..</v>
          </cell>
        </row>
        <row r="907">
          <cell r="A907" t="str">
            <v>Tahun Anggaran</v>
          </cell>
          <cell r="D907" t="str">
            <v>: 2009</v>
          </cell>
        </row>
        <row r="908">
          <cell r="A908" t="str">
            <v>Prop / Kab / Kodya</v>
          </cell>
          <cell r="D908" t="str">
            <v>: ………….………………………………..</v>
          </cell>
        </row>
        <row r="909">
          <cell r="A909" t="str">
            <v>ITEM PEMBAYARAN NO.</v>
          </cell>
          <cell r="D909" t="str">
            <v>:  6.3 (2)</v>
          </cell>
          <cell r="G909" t="str">
            <v>PERKIRAAN VOL. PEK.</v>
          </cell>
          <cell r="I909" t="str">
            <v>:</v>
          </cell>
        </row>
        <row r="910">
          <cell r="A910" t="str">
            <v>JENIS PEKERJAAN</v>
          </cell>
          <cell r="D910" t="str">
            <v>:  Latasir (SS) Kelas B</v>
          </cell>
          <cell r="G910" t="str">
            <v>TOTAL HARGA (Rp.)</v>
          </cell>
          <cell r="I910" t="str">
            <v>:</v>
          </cell>
        </row>
        <row r="911">
          <cell r="A911" t="str">
            <v>SATUAN PEMBAYARAN</v>
          </cell>
          <cell r="D911" t="str">
            <v>:  M2</v>
          </cell>
          <cell r="G911" t="str">
            <v>% THD. BIAYA PROYEK</v>
          </cell>
          <cell r="I911" t="str">
            <v>:</v>
          </cell>
        </row>
        <row r="914">
          <cell r="F914" t="str">
            <v>PERKIRAAN</v>
          </cell>
          <cell r="G914" t="str">
            <v>HARGA</v>
          </cell>
          <cell r="H914" t="str">
            <v>JUMLAH</v>
          </cell>
        </row>
        <row r="915">
          <cell r="A915" t="str">
            <v>NO.</v>
          </cell>
          <cell r="C915" t="str">
            <v>KOMPONEN</v>
          </cell>
          <cell r="E915" t="str">
            <v>SATUAN</v>
          </cell>
          <cell r="F915" t="str">
            <v>KUANTITAS</v>
          </cell>
          <cell r="G915" t="str">
            <v>SATUAN</v>
          </cell>
          <cell r="H915" t="str">
            <v>HARGA</v>
          </cell>
        </row>
        <row r="916">
          <cell r="G916" t="str">
            <v>(Rp.)</v>
          </cell>
          <cell r="H916" t="str">
            <v>(Rp.)</v>
          </cell>
        </row>
        <row r="919">
          <cell r="A919" t="str">
            <v>A.</v>
          </cell>
          <cell r="C919" t="str">
            <v>TENAGA</v>
          </cell>
        </row>
        <row r="921">
          <cell r="A921" t="str">
            <v>1.</v>
          </cell>
          <cell r="C921" t="str">
            <v>Pekerja</v>
          </cell>
          <cell r="D921" t="str">
            <v>(L01)</v>
          </cell>
          <cell r="E921" t="str">
            <v>Jam</v>
          </cell>
        </row>
        <row r="922">
          <cell r="A922" t="str">
            <v>2.</v>
          </cell>
          <cell r="C922" t="str">
            <v>Mandor</v>
          </cell>
          <cell r="D922" t="str">
            <v>(L03)</v>
          </cell>
          <cell r="E922" t="str">
            <v>Jam</v>
          </cell>
        </row>
        <row r="925">
          <cell r="F925" t="str">
            <v xml:space="preserve">JUMLAH HARGA TENAGA   </v>
          </cell>
        </row>
        <row r="927">
          <cell r="A927" t="str">
            <v>B.</v>
          </cell>
          <cell r="C927" t="str">
            <v>BAHAN</v>
          </cell>
        </row>
        <row r="929">
          <cell r="A929" t="str">
            <v>1.</v>
          </cell>
          <cell r="C929" t="str">
            <v>Agregat Kasar</v>
          </cell>
          <cell r="D929" t="str">
            <v>(M03)</v>
          </cell>
          <cell r="E929" t="str">
            <v>M3</v>
          </cell>
          <cell r="F929">
            <v>2.8875000000000003E-3</v>
          </cell>
        </row>
        <row r="930">
          <cell r="A930" t="str">
            <v>2.</v>
          </cell>
          <cell r="C930" t="str">
            <v>Agregat Halus</v>
          </cell>
          <cell r="D930" t="str">
            <v>(M04)</v>
          </cell>
          <cell r="E930" t="str">
            <v>M3</v>
          </cell>
          <cell r="F930">
            <v>1.4245000000000001E-2</v>
          </cell>
        </row>
        <row r="931">
          <cell r="A931" t="str">
            <v>3</v>
          </cell>
          <cell r="C931" t="str">
            <v>Filler</v>
          </cell>
          <cell r="D931" t="str">
            <v>(M05)</v>
          </cell>
          <cell r="E931" t="str">
            <v>Kg</v>
          </cell>
          <cell r="F931">
            <v>0.69300000000000006</v>
          </cell>
        </row>
        <row r="932">
          <cell r="A932" t="str">
            <v>4</v>
          </cell>
          <cell r="C932" t="str">
            <v>Aspal</v>
          </cell>
          <cell r="D932" t="str">
            <v>(M10)</v>
          </cell>
          <cell r="E932" t="str">
            <v>Kg</v>
          </cell>
          <cell r="F932">
            <v>3.0590999999999999</v>
          </cell>
        </row>
        <row r="935">
          <cell r="F935" t="str">
            <v xml:space="preserve">JUMLAH HARGA BAHAN   </v>
          </cell>
        </row>
        <row r="937">
          <cell r="A937" t="str">
            <v>C.</v>
          </cell>
          <cell r="C937" t="str">
            <v>PERALATAN</v>
          </cell>
        </row>
        <row r="938">
          <cell r="A938" t="str">
            <v>1.</v>
          </cell>
          <cell r="C938" t="str">
            <v>Wheel Loader</v>
          </cell>
          <cell r="D938" t="str">
            <v>(E15)</v>
          </cell>
          <cell r="E938" t="str">
            <v>Jam</v>
          </cell>
        </row>
        <row r="939">
          <cell r="A939" t="str">
            <v>2.</v>
          </cell>
          <cell r="C939" t="str">
            <v>AMP</v>
          </cell>
          <cell r="D939" t="str">
            <v>(E01)</v>
          </cell>
          <cell r="E939" t="str">
            <v>Jam</v>
          </cell>
        </row>
        <row r="940">
          <cell r="A940" t="str">
            <v>3.</v>
          </cell>
          <cell r="C940" t="str">
            <v>Genset</v>
          </cell>
          <cell r="D940" t="str">
            <v>(E12)</v>
          </cell>
          <cell r="E940" t="str">
            <v>Jam</v>
          </cell>
        </row>
        <row r="941">
          <cell r="A941" t="str">
            <v>4.</v>
          </cell>
          <cell r="C941" t="str">
            <v>Dump Truck</v>
          </cell>
          <cell r="D941" t="str">
            <v>(E09)</v>
          </cell>
          <cell r="E941" t="str">
            <v>Jam</v>
          </cell>
        </row>
        <row r="942">
          <cell r="A942" t="str">
            <v>5.</v>
          </cell>
          <cell r="C942" t="str">
            <v>Asphalt Finisher     (E02)</v>
          </cell>
          <cell r="D942" t="str">
            <v>(E02)</v>
          </cell>
          <cell r="E942" t="str">
            <v>Jam</v>
          </cell>
        </row>
        <row r="943">
          <cell r="A943" t="str">
            <v>6.</v>
          </cell>
          <cell r="C943" t="str">
            <v>Tandem Roller</v>
          </cell>
          <cell r="D943" t="str">
            <v>(E17)</v>
          </cell>
          <cell r="E943" t="str">
            <v>Jam</v>
          </cell>
        </row>
        <row r="944">
          <cell r="A944" t="str">
            <v>7</v>
          </cell>
          <cell r="C944" t="str">
            <v>P. Tyre Roller</v>
          </cell>
          <cell r="D944" t="str">
            <v>(E18)</v>
          </cell>
          <cell r="E944" t="str">
            <v>Jam</v>
          </cell>
        </row>
        <row r="945">
          <cell r="A945" t="str">
            <v>8</v>
          </cell>
          <cell r="C945" t="str">
            <v>Alat Bantu</v>
          </cell>
          <cell r="E945" t="str">
            <v>Ls</v>
          </cell>
        </row>
        <row r="947">
          <cell r="F947" t="str">
            <v xml:space="preserve">JUMLAH HARGA PERALATAN   </v>
          </cell>
        </row>
        <row r="949">
          <cell r="A949" t="str">
            <v>D.</v>
          </cell>
          <cell r="C949" t="str">
            <v>JUMLAH HARGA TENAGA, BAHAN DAN PERALATAN  ( A + B + C )</v>
          </cell>
        </row>
        <row r="950">
          <cell r="A950" t="str">
            <v>E.</v>
          </cell>
          <cell r="C950" t="str">
            <v>OVERHEAD &amp; PROFIT</v>
          </cell>
          <cell r="E950">
            <v>10</v>
          </cell>
          <cell r="F950" t="str">
            <v>%  x  D</v>
          </cell>
        </row>
        <row r="951">
          <cell r="A951" t="str">
            <v>F.</v>
          </cell>
          <cell r="C951" t="str">
            <v>HARGA SATUAN PEKERJAAN  ( D + E ) DIBULATKAN</v>
          </cell>
        </row>
        <row r="952">
          <cell r="A952" t="str">
            <v>Note: 1</v>
          </cell>
          <cell r="C952" t="str">
            <v>SATUAN dapat berdasarkan atas jam operasi untuk Tenaga Kerja dan Peralatan, volume dan/atau ukuran</v>
          </cell>
        </row>
        <row r="953">
          <cell r="C953" t="str">
            <v>berat untuk bahan-bahan.</v>
          </cell>
        </row>
        <row r="954">
          <cell r="A954">
            <v>2</v>
          </cell>
          <cell r="C954" t="str">
            <v>Kuantitas satuan adalah kuantitas setiap komponen untuk menyelesaikan satu satuan pekerjaan dari nomor</v>
          </cell>
        </row>
        <row r="955">
          <cell r="C955" t="str">
            <v>mata pembayaran.</v>
          </cell>
        </row>
        <row r="956">
          <cell r="A956">
            <v>3</v>
          </cell>
          <cell r="C956" t="str">
            <v>Biaya satuan untuk peralatan sudah termasuk bahan bakar, bahan habis dipakai dan operator.</v>
          </cell>
        </row>
        <row r="957">
          <cell r="A957">
            <v>4</v>
          </cell>
          <cell r="C957" t="str">
            <v>Biaya satuan sudah termasuk pengeluaran untuk seluruh pajak yang berkaitan (tetapi tidak termasuk PPN</v>
          </cell>
        </row>
        <row r="958">
          <cell r="C958" t="str">
            <v>yang dibayar dari kontrak) dan biaya-biaya lainnya.</v>
          </cell>
        </row>
        <row r="1077">
          <cell r="I1077" t="str">
            <v>Analisa EI-633</v>
          </cell>
        </row>
        <row r="1079">
          <cell r="A1079" t="str">
            <v>FORMULIR STANDAR UNTUK</v>
          </cell>
        </row>
        <row r="1080">
          <cell r="A1080" t="str">
            <v>PEREKAMAN ANALISA MASING-MASING HARGA SATUAN</v>
          </cell>
        </row>
        <row r="1081">
          <cell r="A1081">
            <v>0</v>
          </cell>
        </row>
        <row r="1083">
          <cell r="A1083" t="str">
            <v>Kegiatan</v>
          </cell>
          <cell r="D1083" t="str">
            <v>: Pembangunan Jalan Dinas Bina Marga dan Cipta Karya Prov. NAD</v>
          </cell>
        </row>
        <row r="1084">
          <cell r="A1084" t="str">
            <v>Nama Paket</v>
          </cell>
          <cell r="D1084" t="str">
            <v>: ………….………………………………..</v>
          </cell>
        </row>
        <row r="1085">
          <cell r="A1085" t="str">
            <v>Nomor Paket</v>
          </cell>
          <cell r="D1085" t="str">
            <v>: ………….………………………………..</v>
          </cell>
        </row>
        <row r="1086">
          <cell r="A1086" t="str">
            <v>Tahun Anggaran</v>
          </cell>
          <cell r="D1086" t="str">
            <v>: 2009</v>
          </cell>
        </row>
        <row r="1087">
          <cell r="A1087" t="str">
            <v>Prop / Kab / Kodya</v>
          </cell>
          <cell r="D1087" t="str">
            <v>: ………….………………………………..</v>
          </cell>
        </row>
        <row r="1088">
          <cell r="A1088" t="str">
            <v>ITEM PEMBAYARAN NO.</v>
          </cell>
          <cell r="D1088" t="str">
            <v>:  6.3 (3)</v>
          </cell>
          <cell r="G1088" t="str">
            <v>PERKIRAAN VOL. PEK.</v>
          </cell>
          <cell r="I1088" t="str">
            <v>:</v>
          </cell>
        </row>
        <row r="1089">
          <cell r="A1089" t="str">
            <v>JENIS PEKERJAAN</v>
          </cell>
          <cell r="D1089" t="str">
            <v>:  Lataston (HRS)</v>
          </cell>
          <cell r="G1089" t="str">
            <v>TOTAL HARGA (Rp.)</v>
          </cell>
          <cell r="I1089" t="str">
            <v>:</v>
          </cell>
        </row>
        <row r="1090">
          <cell r="A1090" t="str">
            <v>SATUAN PEMBAYARAN</v>
          </cell>
          <cell r="D1090" t="str">
            <v>:  M2</v>
          </cell>
          <cell r="G1090" t="str">
            <v>% THD. BIAYA PROYEK</v>
          </cell>
          <cell r="I1090" t="str">
            <v>:</v>
          </cell>
        </row>
        <row r="1093">
          <cell r="F1093" t="str">
            <v>PERKIRAAN</v>
          </cell>
          <cell r="G1093" t="str">
            <v>HARGA</v>
          </cell>
          <cell r="H1093" t="str">
            <v>JUMLAH</v>
          </cell>
        </row>
        <row r="1094">
          <cell r="A1094" t="str">
            <v>NO.</v>
          </cell>
          <cell r="C1094" t="str">
            <v>KOMPONEN</v>
          </cell>
          <cell r="E1094" t="str">
            <v>SATUAN</v>
          </cell>
          <cell r="F1094" t="str">
            <v>KUANTITAS</v>
          </cell>
          <cell r="G1094" t="str">
            <v>SATUAN</v>
          </cell>
          <cell r="H1094" t="str">
            <v>HARGA</v>
          </cell>
        </row>
        <row r="1095">
          <cell r="G1095" t="str">
            <v>(Rp.)</v>
          </cell>
          <cell r="H1095" t="str">
            <v>(Rp.)</v>
          </cell>
        </row>
        <row r="1098">
          <cell r="A1098" t="str">
            <v>A.</v>
          </cell>
          <cell r="C1098" t="str">
            <v>TENAGA</v>
          </cell>
        </row>
        <row r="1100">
          <cell r="A1100" t="str">
            <v>1.</v>
          </cell>
          <cell r="C1100" t="str">
            <v>Pekerja</v>
          </cell>
          <cell r="D1100" t="str">
            <v>(L01)</v>
          </cell>
          <cell r="E1100" t="str">
            <v>Jam</v>
          </cell>
        </row>
        <row r="1101">
          <cell r="A1101" t="str">
            <v>2.</v>
          </cell>
          <cell r="C1101" t="str">
            <v>Mandor</v>
          </cell>
          <cell r="D1101" t="str">
            <v>(L03)</v>
          </cell>
          <cell r="E1101" t="str">
            <v>Jam</v>
          </cell>
        </row>
        <row r="1104">
          <cell r="F1104" t="str">
            <v xml:space="preserve">JUMLAH HARGA TENAGA   </v>
          </cell>
        </row>
        <row r="1106">
          <cell r="A1106" t="str">
            <v>B.</v>
          </cell>
          <cell r="C1106" t="str">
            <v>BAHAN</v>
          </cell>
        </row>
        <row r="1108">
          <cell r="A1108" t="str">
            <v>1.</v>
          </cell>
          <cell r="C1108" t="str">
            <v>Agregat Kasar</v>
          </cell>
          <cell r="D1108" t="str">
            <v>(M03)</v>
          </cell>
          <cell r="E1108" t="str">
            <v>M3</v>
          </cell>
          <cell r="F1108">
            <v>1.7640000000000006E-2</v>
          </cell>
        </row>
        <row r="1109">
          <cell r="A1109" t="str">
            <v>2.</v>
          </cell>
          <cell r="C1109" t="str">
            <v>Agregat Halus</v>
          </cell>
          <cell r="D1109" t="str">
            <v>(M04)</v>
          </cell>
          <cell r="E1109" t="str">
            <v>M3</v>
          </cell>
          <cell r="F1109">
            <v>1.8228000000000001E-2</v>
          </cell>
        </row>
        <row r="1110">
          <cell r="A1110" t="str">
            <v>3</v>
          </cell>
          <cell r="C1110" t="str">
            <v>Filler</v>
          </cell>
          <cell r="D1110" t="str">
            <v>(M05)</v>
          </cell>
          <cell r="E1110" t="str">
            <v>Kg</v>
          </cell>
          <cell r="F1110">
            <v>0.70560000000000012</v>
          </cell>
        </row>
        <row r="1111">
          <cell r="A1111" t="str">
            <v>4</v>
          </cell>
          <cell r="C1111" t="str">
            <v>Aspal</v>
          </cell>
          <cell r="D1111" t="str">
            <v>(M10)</v>
          </cell>
          <cell r="E1111" t="str">
            <v>Kg</v>
          </cell>
          <cell r="F1111">
            <v>5.1912000000000003</v>
          </cell>
        </row>
        <row r="1114">
          <cell r="F1114" t="str">
            <v xml:space="preserve">JUMLAH HARGA BAHAN   </v>
          </cell>
        </row>
        <row r="1116">
          <cell r="A1116" t="str">
            <v>C.</v>
          </cell>
          <cell r="C1116" t="str">
            <v>PERALATAN</v>
          </cell>
        </row>
        <row r="1117">
          <cell r="A1117" t="str">
            <v>1.</v>
          </cell>
          <cell r="C1117" t="str">
            <v>Wheel Loader</v>
          </cell>
          <cell r="D1117" t="str">
            <v>(E15)</v>
          </cell>
          <cell r="E1117" t="str">
            <v>Jam</v>
          </cell>
        </row>
        <row r="1118">
          <cell r="A1118" t="str">
            <v>2.</v>
          </cell>
          <cell r="C1118" t="str">
            <v>AMP</v>
          </cell>
          <cell r="D1118" t="str">
            <v>(E01)</v>
          </cell>
          <cell r="E1118" t="str">
            <v>Jam</v>
          </cell>
        </row>
        <row r="1119">
          <cell r="A1119" t="str">
            <v>3.</v>
          </cell>
          <cell r="C1119" t="str">
            <v>Genset</v>
          </cell>
          <cell r="D1119" t="str">
            <v>(E12)</v>
          </cell>
          <cell r="E1119" t="str">
            <v>Jam</v>
          </cell>
        </row>
        <row r="1120">
          <cell r="A1120" t="str">
            <v>4.</v>
          </cell>
          <cell r="C1120" t="str">
            <v>Dump Truck</v>
          </cell>
          <cell r="D1120" t="str">
            <v>(E09)</v>
          </cell>
          <cell r="E1120" t="str">
            <v>Jam</v>
          </cell>
        </row>
        <row r="1121">
          <cell r="A1121" t="str">
            <v>5.</v>
          </cell>
          <cell r="C1121" t="str">
            <v>Asphalt Finisher     (E02)</v>
          </cell>
          <cell r="D1121" t="str">
            <v>(E02)</v>
          </cell>
          <cell r="E1121" t="str">
            <v>Jam</v>
          </cell>
        </row>
        <row r="1122">
          <cell r="A1122" t="str">
            <v>6.</v>
          </cell>
          <cell r="C1122" t="str">
            <v>Tandem Roller</v>
          </cell>
          <cell r="D1122" t="str">
            <v>(E17)</v>
          </cell>
          <cell r="E1122" t="str">
            <v>Jam</v>
          </cell>
        </row>
        <row r="1123">
          <cell r="A1123" t="str">
            <v>7</v>
          </cell>
          <cell r="C1123" t="str">
            <v>P. Tyre Roller</v>
          </cell>
          <cell r="D1123" t="str">
            <v>(E18)</v>
          </cell>
          <cell r="E1123" t="str">
            <v>Jam</v>
          </cell>
        </row>
        <row r="1124">
          <cell r="A1124" t="str">
            <v>8</v>
          </cell>
          <cell r="C1124" t="str">
            <v>Alat Bantu</v>
          </cell>
          <cell r="E1124" t="str">
            <v>Ls</v>
          </cell>
        </row>
        <row r="1126">
          <cell r="F1126" t="str">
            <v xml:space="preserve">JUMLAH HARGA PERALATAN   </v>
          </cell>
        </row>
        <row r="1128">
          <cell r="A1128" t="str">
            <v>D.</v>
          </cell>
          <cell r="C1128" t="str">
            <v>JUMLAH HARGA TENAGA, BAHAN DAN PERALATAN  ( A + B + C )</v>
          </cell>
        </row>
        <row r="1129">
          <cell r="A1129" t="str">
            <v>E.</v>
          </cell>
          <cell r="C1129" t="str">
            <v>OVERHEAD &amp; PROFIT</v>
          </cell>
          <cell r="E1129">
            <v>10</v>
          </cell>
          <cell r="F1129" t="str">
            <v>%  x  D</v>
          </cell>
        </row>
        <row r="1130">
          <cell r="A1130" t="str">
            <v>F.</v>
          </cell>
          <cell r="C1130" t="str">
            <v>HARGA SATUAN PEKERJAAN  ( D + E ) DIBULATKAN</v>
          </cell>
        </row>
        <row r="1131">
          <cell r="A1131" t="str">
            <v>Note: 1</v>
          </cell>
          <cell r="C1131" t="str">
            <v>SATUAN dapat berdasarkan atas jam operasi untuk Tenaga Kerja dan Peralatan, volume dan/atau ukuran</v>
          </cell>
        </row>
        <row r="1132">
          <cell r="C1132" t="str">
            <v>berat untuk bahan-bahan.</v>
          </cell>
        </row>
        <row r="1133">
          <cell r="A1133">
            <v>2</v>
          </cell>
          <cell r="C1133" t="str">
            <v>Kuantitas satuan adalah kuantitas setiap komponen untuk menyelesaikan satu satuan pekerjaan dari nomor</v>
          </cell>
        </row>
        <row r="1134">
          <cell r="C1134" t="str">
            <v>mata pembayaran.</v>
          </cell>
        </row>
        <row r="1135">
          <cell r="A1135">
            <v>3</v>
          </cell>
          <cell r="C1135" t="str">
            <v>Biaya satuan untuk peralatan sudah termasuk bahan bakar, bahan habis dipakai dan operator.</v>
          </cell>
        </row>
        <row r="1136">
          <cell r="A1136">
            <v>4</v>
          </cell>
          <cell r="C1136" t="str">
            <v>Biaya satuan sudah termasuk pengeluaran untuk seluruh pajak yang berkaitan (tetapi tidak termasuk PPN</v>
          </cell>
        </row>
        <row r="1137">
          <cell r="C1137" t="str">
            <v>yang dibayar dari kontrak) dan biaya-biaya lainnya.</v>
          </cell>
        </row>
        <row r="1256">
          <cell r="I1256" t="str">
            <v>Analisa EI-634</v>
          </cell>
        </row>
        <row r="1258">
          <cell r="A1258" t="str">
            <v>FORMULIR STANDAR UNTUK</v>
          </cell>
        </row>
        <row r="1259">
          <cell r="A1259" t="str">
            <v>PEREKAMAN ANALISA MASING-MASING HARGA SATUAN</v>
          </cell>
        </row>
        <row r="1260">
          <cell r="A1260">
            <v>0</v>
          </cell>
        </row>
        <row r="1262">
          <cell r="A1262" t="str">
            <v>Kegiatan</v>
          </cell>
          <cell r="D1262" t="str">
            <v>: Pembangunan Jalan Dinas Bina Marga dan Cipta Karya Prov. NAD</v>
          </cell>
        </row>
        <row r="1263">
          <cell r="A1263" t="str">
            <v>Nama Paket</v>
          </cell>
          <cell r="D1263" t="str">
            <v>: ………….………………………………..</v>
          </cell>
        </row>
        <row r="1264">
          <cell r="A1264" t="str">
            <v>Nomor Paket</v>
          </cell>
          <cell r="D1264" t="str">
            <v>: ………….………………………………..</v>
          </cell>
        </row>
        <row r="1265">
          <cell r="A1265" t="str">
            <v>Tahun Anggaran</v>
          </cell>
          <cell r="D1265" t="str">
            <v>: 2009</v>
          </cell>
        </row>
        <row r="1266">
          <cell r="A1266" t="str">
            <v>Prop / Kab / Kodya</v>
          </cell>
          <cell r="D1266" t="str">
            <v>: ………….………………………………..</v>
          </cell>
        </row>
        <row r="1267">
          <cell r="A1267" t="str">
            <v>ITEM PEMBAYARAN NO.</v>
          </cell>
          <cell r="D1267" t="str">
            <v>:  6.3 (4)</v>
          </cell>
          <cell r="G1267" t="str">
            <v>PERKIRAAN VOL. PEK.</v>
          </cell>
          <cell r="I1267" t="str">
            <v>:</v>
          </cell>
        </row>
        <row r="1268">
          <cell r="A1268" t="str">
            <v>JENIS PEKERJAAN</v>
          </cell>
          <cell r="D1268" t="str">
            <v>:  Asphalt Treated Base (ATB)</v>
          </cell>
          <cell r="G1268" t="str">
            <v>TOTAL HARGA (Rp.)</v>
          </cell>
          <cell r="I1268" t="str">
            <v>:</v>
          </cell>
        </row>
        <row r="1269">
          <cell r="A1269" t="str">
            <v>SATUAN PEMBAYARAN</v>
          </cell>
          <cell r="D1269" t="str">
            <v>:  M3</v>
          </cell>
          <cell r="G1269" t="str">
            <v>% THD. BIAYA PROYEK</v>
          </cell>
          <cell r="I1269" t="str">
            <v>:</v>
          </cell>
        </row>
        <row r="1272">
          <cell r="F1272" t="str">
            <v>PERKIRAAN</v>
          </cell>
          <cell r="G1272" t="str">
            <v>HARGA</v>
          </cell>
          <cell r="H1272" t="str">
            <v>JUMLAH</v>
          </cell>
        </row>
        <row r="1273">
          <cell r="A1273" t="str">
            <v>NO.</v>
          </cell>
          <cell r="C1273" t="str">
            <v>KOMPONEN</v>
          </cell>
          <cell r="E1273" t="str">
            <v>SATUAN</v>
          </cell>
          <cell r="F1273" t="str">
            <v>KUANTITAS</v>
          </cell>
          <cell r="G1273" t="str">
            <v>SATUAN</v>
          </cell>
          <cell r="H1273" t="str">
            <v>HARGA</v>
          </cell>
        </row>
        <row r="1274">
          <cell r="G1274" t="str">
            <v>(Rp.)</v>
          </cell>
          <cell r="H1274" t="str">
            <v>(Rp.)</v>
          </cell>
        </row>
        <row r="1277">
          <cell r="A1277" t="str">
            <v>A.</v>
          </cell>
          <cell r="C1277" t="str">
            <v>TENAGA</v>
          </cell>
        </row>
        <row r="1279">
          <cell r="A1279" t="str">
            <v>1.</v>
          </cell>
          <cell r="C1279" t="str">
            <v>Pekerja</v>
          </cell>
          <cell r="D1279" t="str">
            <v>(L01)</v>
          </cell>
          <cell r="E1279" t="str">
            <v>Jam</v>
          </cell>
        </row>
        <row r="1280">
          <cell r="A1280" t="str">
            <v>2.</v>
          </cell>
          <cell r="C1280" t="str">
            <v>Mandor</v>
          </cell>
          <cell r="D1280" t="str">
            <v>(L03)</v>
          </cell>
          <cell r="E1280" t="str">
            <v>Jam</v>
          </cell>
        </row>
        <row r="1283">
          <cell r="F1283" t="str">
            <v xml:space="preserve">JUMLAH HARGA TENAGA   </v>
          </cell>
        </row>
        <row r="1285">
          <cell r="A1285" t="str">
            <v>B.</v>
          </cell>
          <cell r="C1285" t="str">
            <v>BAHAN</v>
          </cell>
        </row>
        <row r="1287">
          <cell r="A1287" t="str">
            <v>1.</v>
          </cell>
          <cell r="C1287" t="str">
            <v>Agregat Kasar</v>
          </cell>
          <cell r="D1287" t="str">
            <v>(M03)</v>
          </cell>
          <cell r="E1287" t="str">
            <v>M3</v>
          </cell>
          <cell r="F1287">
            <v>0.7730555555555555</v>
          </cell>
        </row>
        <row r="1288">
          <cell r="A1288" t="str">
            <v>2.</v>
          </cell>
          <cell r="C1288" t="str">
            <v>Agregat Halus</v>
          </cell>
          <cell r="D1288" t="str">
            <v>(M04)</v>
          </cell>
          <cell r="E1288" t="str">
            <v>M3</v>
          </cell>
          <cell r="F1288">
            <v>0.52708333333333335</v>
          </cell>
        </row>
        <row r="1289">
          <cell r="A1289" t="str">
            <v>3</v>
          </cell>
          <cell r="C1289" t="str">
            <v>Filler</v>
          </cell>
          <cell r="D1289" t="str">
            <v>(M05)</v>
          </cell>
          <cell r="E1289" t="str">
            <v>Kg</v>
          </cell>
          <cell r="F1289">
            <v>25.3</v>
          </cell>
        </row>
        <row r="1290">
          <cell r="A1290" t="str">
            <v>4</v>
          </cell>
          <cell r="C1290" t="str">
            <v>Aspal</v>
          </cell>
          <cell r="D1290" t="str">
            <v>(M10)</v>
          </cell>
          <cell r="E1290" t="str">
            <v>Kg</v>
          </cell>
          <cell r="F1290">
            <v>156.97499999999999</v>
          </cell>
        </row>
        <row r="1293">
          <cell r="F1293" t="str">
            <v xml:space="preserve">JUMLAH HARGA BAHAN   </v>
          </cell>
        </row>
        <row r="1295">
          <cell r="A1295" t="str">
            <v>C.</v>
          </cell>
          <cell r="C1295" t="str">
            <v>PERALATAN</v>
          </cell>
        </row>
        <row r="1296">
          <cell r="A1296" t="str">
            <v>1.</v>
          </cell>
          <cell r="C1296" t="str">
            <v>Wheel Loader</v>
          </cell>
          <cell r="D1296" t="str">
            <v>(E15)</v>
          </cell>
          <cell r="E1296" t="str">
            <v>Jam</v>
          </cell>
        </row>
        <row r="1297">
          <cell r="A1297" t="str">
            <v>2.</v>
          </cell>
          <cell r="C1297" t="str">
            <v>AMP</v>
          </cell>
          <cell r="D1297" t="str">
            <v>(E01)</v>
          </cell>
          <cell r="E1297" t="str">
            <v>Jam</v>
          </cell>
        </row>
        <row r="1298">
          <cell r="A1298" t="str">
            <v>3.</v>
          </cell>
          <cell r="C1298" t="str">
            <v>Genset</v>
          </cell>
          <cell r="D1298" t="str">
            <v>(E12)</v>
          </cell>
          <cell r="E1298" t="str">
            <v>Jam</v>
          </cell>
        </row>
        <row r="1299">
          <cell r="A1299" t="str">
            <v>4.</v>
          </cell>
          <cell r="C1299" t="str">
            <v>Dump Truck</v>
          </cell>
          <cell r="D1299" t="str">
            <v>(E09)</v>
          </cell>
          <cell r="E1299" t="str">
            <v>Jam</v>
          </cell>
        </row>
        <row r="1300">
          <cell r="A1300" t="str">
            <v>5.</v>
          </cell>
          <cell r="C1300" t="str">
            <v>Asphalt Finisher     (E02)</v>
          </cell>
          <cell r="D1300" t="str">
            <v>(E02)</v>
          </cell>
          <cell r="E1300" t="str">
            <v>Jam</v>
          </cell>
        </row>
        <row r="1301">
          <cell r="A1301" t="str">
            <v>6.</v>
          </cell>
          <cell r="C1301" t="str">
            <v>Tandem Roller</v>
          </cell>
          <cell r="D1301" t="str">
            <v>(E17)</v>
          </cell>
          <cell r="E1301" t="str">
            <v>Jam</v>
          </cell>
        </row>
        <row r="1302">
          <cell r="A1302" t="str">
            <v>7</v>
          </cell>
          <cell r="C1302" t="str">
            <v>P. Tyre Roller</v>
          </cell>
          <cell r="D1302" t="str">
            <v>(E18)</v>
          </cell>
          <cell r="E1302" t="str">
            <v>Jam</v>
          </cell>
        </row>
        <row r="1303">
          <cell r="A1303" t="str">
            <v>8</v>
          </cell>
          <cell r="C1303" t="str">
            <v>Alat Bantu</v>
          </cell>
          <cell r="E1303" t="str">
            <v>Ls</v>
          </cell>
        </row>
        <row r="1305">
          <cell r="F1305" t="str">
            <v xml:space="preserve">JUMLAH HARGA PERALATAN   </v>
          </cell>
        </row>
        <row r="1307">
          <cell r="A1307" t="str">
            <v>D.</v>
          </cell>
          <cell r="C1307" t="str">
            <v>JUMLAH HARGA TENAGA, BAHAN DAN PERALATAN  ( A + B + C )</v>
          </cell>
        </row>
        <row r="1308">
          <cell r="A1308" t="str">
            <v>E.</v>
          </cell>
          <cell r="C1308" t="str">
            <v>OVERHEAD &amp; PROFIT</v>
          </cell>
          <cell r="E1308">
            <v>10</v>
          </cell>
          <cell r="F1308" t="str">
            <v>%  x  D</v>
          </cell>
        </row>
        <row r="1309">
          <cell r="A1309" t="str">
            <v>F.</v>
          </cell>
          <cell r="C1309" t="str">
            <v>HARGA SATUAN PEKERJAAN  ( D + E ) DIBULATKAN</v>
          </cell>
        </row>
        <row r="1310">
          <cell r="A1310" t="str">
            <v>Note: 1</v>
          </cell>
          <cell r="C1310" t="str">
            <v>SATUAN dapat berdasarkan atas jam operasi untuk Tenaga Kerja dan Peralatan, volume dan/atau ukuran</v>
          </cell>
        </row>
        <row r="1311">
          <cell r="C1311" t="str">
            <v>berat untuk bahan-bahan.</v>
          </cell>
        </row>
        <row r="1312">
          <cell r="A1312">
            <v>2</v>
          </cell>
          <cell r="C1312" t="str">
            <v>Kuantitas satuan adalah kuantitas setiap komponen untuk menyelesaikan satu satuan pekerjaan dari nomor</v>
          </cell>
        </row>
        <row r="1313">
          <cell r="C1313" t="str">
            <v>mata pembayaran.</v>
          </cell>
        </row>
        <row r="1314">
          <cell r="A1314">
            <v>3</v>
          </cell>
          <cell r="C1314" t="str">
            <v>Biaya satuan untuk peralatan sudah termasuk bahan bakar, bahan habis dipakai dan operator.</v>
          </cell>
        </row>
        <row r="1315">
          <cell r="A1315">
            <v>4</v>
          </cell>
          <cell r="C1315" t="str">
            <v>Biaya satuan sudah termasuk pengeluaran untuk seluruh pajak yang berkaitan (tetapi tidak termasuk PPN</v>
          </cell>
        </row>
        <row r="1316">
          <cell r="C1316" t="str">
            <v>yang dibayar dari kontrak) dan biaya-biaya lainnya.</v>
          </cell>
        </row>
        <row r="1435">
          <cell r="I1435" t="str">
            <v>Analisa EI-634a</v>
          </cell>
        </row>
        <row r="1437">
          <cell r="A1437" t="str">
            <v>FORMULIR STANDAR UNTUK</v>
          </cell>
        </row>
        <row r="1438">
          <cell r="A1438" t="str">
            <v>PEREKAMAN ANALISA MASING-MASING HARGA SATUAN</v>
          </cell>
        </row>
        <row r="1439">
          <cell r="A1439">
            <v>0</v>
          </cell>
        </row>
        <row r="1442">
          <cell r="A1442" t="str">
            <v>PROYEK</v>
          </cell>
          <cell r="D1442" t="str">
            <v>:</v>
          </cell>
        </row>
        <row r="1443">
          <cell r="A1443" t="str">
            <v>No. PAKET KONTRAK</v>
          </cell>
          <cell r="D1443" t="str">
            <v>:</v>
          </cell>
        </row>
        <row r="1444">
          <cell r="A1444" t="str">
            <v>NAMA PAKET</v>
          </cell>
          <cell r="D1444" t="str">
            <v>:</v>
          </cell>
        </row>
        <row r="1445">
          <cell r="A1445" t="str">
            <v>PROP / KAB / KODYA</v>
          </cell>
          <cell r="D1445" t="str">
            <v>:</v>
          </cell>
        </row>
        <row r="1446">
          <cell r="A1446" t="str">
            <v>ITEM PEMBAYARAN NO.</v>
          </cell>
          <cell r="D1446" t="e">
            <v>#REF!</v>
          </cell>
          <cell r="G1446" t="str">
            <v>PERKIRAAN VOL. PEK.</v>
          </cell>
          <cell r="I1446" t="str">
            <v>:</v>
          </cell>
          <cell r="J1446" t="e">
            <v>#REF!</v>
          </cell>
        </row>
        <row r="1447">
          <cell r="A1447" t="str">
            <v>JENIS PEKERJAAN</v>
          </cell>
          <cell r="D1447" t="e">
            <v>#REF!</v>
          </cell>
          <cell r="G1447" t="str">
            <v>TOTAL HARGA (Rp.)</v>
          </cell>
          <cell r="I1447" t="str">
            <v>:</v>
          </cell>
          <cell r="J1447" t="e">
            <v>#REF!</v>
          </cell>
        </row>
        <row r="1448">
          <cell r="A1448" t="str">
            <v>SATUAN PEMBAYARAN</v>
          </cell>
          <cell r="D1448" t="e">
            <v>#REF!</v>
          </cell>
          <cell r="G1448" t="str">
            <v>% THD. BIAYA PROYEK</v>
          </cell>
          <cell r="I1448" t="str">
            <v>:</v>
          </cell>
          <cell r="J1448" t="e">
            <v>#REF!</v>
          </cell>
        </row>
        <row r="1451">
          <cell r="F1451" t="str">
            <v>PERKIRAAN</v>
          </cell>
          <cell r="G1451" t="str">
            <v>HARGA</v>
          </cell>
          <cell r="H1451" t="str">
            <v>JUMLAH</v>
          </cell>
        </row>
        <row r="1452">
          <cell r="A1452" t="str">
            <v>NO.</v>
          </cell>
          <cell r="C1452" t="str">
            <v>KOMPONEN</v>
          </cell>
          <cell r="E1452" t="str">
            <v>SATUAN</v>
          </cell>
          <cell r="F1452" t="str">
            <v>KUANTITAS</v>
          </cell>
          <cell r="G1452" t="str">
            <v>SATUAN</v>
          </cell>
          <cell r="H1452" t="str">
            <v>HARGA</v>
          </cell>
        </row>
        <row r="1453">
          <cell r="G1453" t="str">
            <v>(Rp.)</v>
          </cell>
          <cell r="H1453" t="str">
            <v>(Rp.)</v>
          </cell>
        </row>
        <row r="1456">
          <cell r="A1456" t="str">
            <v>A.</v>
          </cell>
          <cell r="C1456" t="str">
            <v>TENAGA</v>
          </cell>
        </row>
        <row r="1458">
          <cell r="A1458" t="str">
            <v>1.</v>
          </cell>
          <cell r="C1458" t="str">
            <v>Pekerja</v>
          </cell>
          <cell r="D1458" t="str">
            <v>(L01)</v>
          </cell>
          <cell r="E1458" t="str">
            <v>Jam</v>
          </cell>
          <cell r="F1458" t="e">
            <v>#REF!</v>
          </cell>
          <cell r="G1458">
            <v>6828.5714285714284</v>
          </cell>
          <cell r="J1458" t="e">
            <v>#REF!</v>
          </cell>
        </row>
        <row r="1459">
          <cell r="A1459" t="str">
            <v>2.</v>
          </cell>
          <cell r="C1459" t="str">
            <v>Mandor</v>
          </cell>
          <cell r="D1459" t="str">
            <v>(L03)</v>
          </cell>
          <cell r="E1459" t="str">
            <v>Jam</v>
          </cell>
          <cell r="F1459" t="e">
            <v>#REF!</v>
          </cell>
          <cell r="G1459">
            <v>9271.4285714285706</v>
          </cell>
          <cell r="J1459" t="e">
            <v>#REF!</v>
          </cell>
        </row>
        <row r="1462">
          <cell r="F1462" t="str">
            <v xml:space="preserve">JUMLAH HARGA TENAGA   </v>
          </cell>
          <cell r="J1462" t="e">
            <v>#REF!</v>
          </cell>
        </row>
        <row r="1464">
          <cell r="A1464" t="str">
            <v>B.</v>
          </cell>
          <cell r="C1464" t="str">
            <v>BAHAN</v>
          </cell>
        </row>
        <row r="1465">
          <cell r="F1465">
            <v>0</v>
          </cell>
        </row>
        <row r="1466">
          <cell r="A1466" t="str">
            <v>1.</v>
          </cell>
          <cell r="C1466" t="str">
            <v>Agregat Kasar</v>
          </cell>
          <cell r="D1466" t="str">
            <v>(M03)</v>
          </cell>
          <cell r="E1466" t="str">
            <v>M3</v>
          </cell>
          <cell r="F1466" t="e">
            <v>#REF!</v>
          </cell>
          <cell r="G1466">
            <v>201070.38567340944</v>
          </cell>
          <cell r="J1466" t="e">
            <v>#REF!</v>
          </cell>
        </row>
        <row r="1467">
          <cell r="A1467" t="str">
            <v>2.</v>
          </cell>
          <cell r="C1467" t="str">
            <v>Agregat Halus</v>
          </cell>
          <cell r="D1467" t="str">
            <v>(M04)</v>
          </cell>
          <cell r="E1467" t="str">
            <v>M3</v>
          </cell>
          <cell r="F1467" t="e">
            <v>#REF!</v>
          </cell>
          <cell r="G1467">
            <v>202144.28634006533</v>
          </cell>
          <cell r="J1467" t="e">
            <v>#REF!</v>
          </cell>
        </row>
        <row r="1468">
          <cell r="A1468" t="str">
            <v>3</v>
          </cell>
          <cell r="C1468" t="str">
            <v>Filler</v>
          </cell>
          <cell r="D1468" t="str">
            <v>(M05)</v>
          </cell>
          <cell r="E1468" t="str">
            <v>Kg</v>
          </cell>
          <cell r="F1468" t="e">
            <v>#REF!</v>
          </cell>
          <cell r="G1468">
            <v>1350</v>
          </cell>
          <cell r="J1468" t="e">
            <v>#REF!</v>
          </cell>
        </row>
        <row r="1469">
          <cell r="A1469" t="str">
            <v>4</v>
          </cell>
          <cell r="C1469" t="str">
            <v>Aspal</v>
          </cell>
          <cell r="D1469" t="str">
            <v>(M10)</v>
          </cell>
          <cell r="E1469" t="str">
            <v>Kg</v>
          </cell>
          <cell r="F1469" t="e">
            <v>#REF!</v>
          </cell>
          <cell r="G1469">
            <v>7000</v>
          </cell>
          <cell r="J1469" t="e">
            <v>#REF!</v>
          </cell>
        </row>
        <row r="1472">
          <cell r="F1472" t="str">
            <v xml:space="preserve">JUMLAH HARGA BAHAN   </v>
          </cell>
          <cell r="J1472" t="e">
            <v>#REF!</v>
          </cell>
        </row>
        <row r="1474">
          <cell r="A1474" t="str">
            <v>C.</v>
          </cell>
          <cell r="C1474" t="str">
            <v>PERALATAN</v>
          </cell>
        </row>
        <row r="1475">
          <cell r="A1475" t="str">
            <v>1.</v>
          </cell>
          <cell r="C1475" t="str">
            <v>Wheel Loader</v>
          </cell>
          <cell r="D1475" t="str">
            <v>(E15)</v>
          </cell>
          <cell r="E1475" t="str">
            <v>Jam</v>
          </cell>
          <cell r="F1475" t="e">
            <v>#REF!</v>
          </cell>
          <cell r="G1475">
            <v>285227.16274533898</v>
          </cell>
          <cell r="J1475" t="e">
            <v>#REF!</v>
          </cell>
        </row>
        <row r="1476">
          <cell r="A1476" t="str">
            <v>2.</v>
          </cell>
          <cell r="C1476" t="str">
            <v>AMP</v>
          </cell>
          <cell r="D1476" t="str">
            <v>(E01)</v>
          </cell>
          <cell r="E1476" t="str">
            <v>Jam</v>
          </cell>
          <cell r="F1476" t="e">
            <v>#REF!</v>
          </cell>
          <cell r="G1476">
            <v>2978058.4463952361</v>
          </cell>
          <cell r="J1476" t="e">
            <v>#REF!</v>
          </cell>
        </row>
        <row r="1477">
          <cell r="A1477" t="str">
            <v>3.</v>
          </cell>
          <cell r="C1477" t="str">
            <v>Genset</v>
          </cell>
          <cell r="D1477" t="str">
            <v>(E12)</v>
          </cell>
          <cell r="E1477" t="str">
            <v>Jam</v>
          </cell>
          <cell r="F1477" t="e">
            <v>#REF!</v>
          </cell>
          <cell r="G1477">
            <v>261643.20983198698</v>
          </cell>
          <cell r="J1477" t="e">
            <v>#REF!</v>
          </cell>
        </row>
        <row r="1478">
          <cell r="A1478" t="str">
            <v>4.</v>
          </cell>
          <cell r="C1478" t="str">
            <v>Dump Truck</v>
          </cell>
          <cell r="D1478" t="str">
            <v>(E09)</v>
          </cell>
          <cell r="E1478" t="str">
            <v>Jam</v>
          </cell>
          <cell r="F1478" t="e">
            <v>#REF!</v>
          </cell>
          <cell r="G1478">
            <v>240635.90280124091</v>
          </cell>
          <cell r="J1478" t="e">
            <v>#REF!</v>
          </cell>
        </row>
        <row r="1479">
          <cell r="A1479" t="str">
            <v>5.</v>
          </cell>
          <cell r="C1479" t="str">
            <v>Asphalt Finisher     (E02)</v>
          </cell>
          <cell r="D1479" t="str">
            <v>(E02)</v>
          </cell>
          <cell r="E1479" t="str">
            <v>Jam</v>
          </cell>
          <cell r="F1479" t="e">
            <v>#REF!</v>
          </cell>
          <cell r="G1479">
            <v>162986.9133286069</v>
          </cell>
          <cell r="J1479" t="e">
            <v>#REF!</v>
          </cell>
        </row>
        <row r="1480">
          <cell r="A1480" t="str">
            <v>6.</v>
          </cell>
          <cell r="C1480" t="str">
            <v>Tandem Roller</v>
          </cell>
          <cell r="D1480" t="str">
            <v>(E17)</v>
          </cell>
          <cell r="E1480" t="str">
            <v>Jam</v>
          </cell>
          <cell r="F1480" t="e">
            <v>#REF!</v>
          </cell>
          <cell r="G1480">
            <v>164396.94612525724</v>
          </cell>
          <cell r="J1480" t="e">
            <v>#REF!</v>
          </cell>
        </row>
        <row r="1481">
          <cell r="A1481" t="str">
            <v>7</v>
          </cell>
          <cell r="C1481" t="str">
            <v>P. Tyre Roller</v>
          </cell>
          <cell r="D1481" t="str">
            <v>(E18)</v>
          </cell>
          <cell r="E1481" t="str">
            <v>Jam</v>
          </cell>
          <cell r="F1481" t="e">
            <v>#REF!</v>
          </cell>
          <cell r="G1481">
            <v>189911.8324101661</v>
          </cell>
          <cell r="J1481" t="e">
            <v>#REF!</v>
          </cell>
        </row>
        <row r="1482">
          <cell r="A1482" t="str">
            <v>8</v>
          </cell>
          <cell r="C1482" t="str">
            <v>Alat Bantu</v>
          </cell>
          <cell r="E1482" t="str">
            <v>Ls</v>
          </cell>
          <cell r="F1482">
            <v>1</v>
          </cell>
          <cell r="G1482">
            <v>50</v>
          </cell>
          <cell r="J1482">
            <v>50</v>
          </cell>
        </row>
        <row r="1484">
          <cell r="F1484" t="str">
            <v xml:space="preserve">JUMLAH HARGA PERALATAN   </v>
          </cell>
          <cell r="J1484" t="e">
            <v>#REF!</v>
          </cell>
        </row>
        <row r="1486">
          <cell r="A1486" t="str">
            <v>D.</v>
          </cell>
          <cell r="C1486" t="str">
            <v>JUMLAH HARGA TENAGA, BAHAN DAN PERALATAN  ( A + B + C )</v>
          </cell>
          <cell r="J1486" t="e">
            <v>#REF!</v>
          </cell>
        </row>
        <row r="1487">
          <cell r="A1487" t="str">
            <v>E.</v>
          </cell>
          <cell r="C1487" t="str">
            <v>OVERHEAD &amp; PROFIT</v>
          </cell>
          <cell r="E1487">
            <v>10</v>
          </cell>
          <cell r="F1487" t="str">
            <v>%  x  D</v>
          </cell>
          <cell r="J1487" t="e">
            <v>#REF!</v>
          </cell>
        </row>
        <row r="1488">
          <cell r="A1488" t="str">
            <v>F.</v>
          </cell>
          <cell r="C1488" t="str">
            <v>HARGA SATUAN PEKERJAAN  ( D + E )</v>
          </cell>
          <cell r="J1488" t="e">
            <v>#REF!</v>
          </cell>
        </row>
        <row r="1489">
          <cell r="A1489" t="str">
            <v>Note: 1</v>
          </cell>
          <cell r="C1489" t="str">
            <v>SATUAN dapat berdasarkan atas jam operasi untuk Tenaga Kerja dan Peralatan, volume dan/atau ukuran</v>
          </cell>
        </row>
        <row r="1490">
          <cell r="C1490" t="str">
            <v>berat untuk bahan-bahan.</v>
          </cell>
        </row>
        <row r="1491">
          <cell r="A1491">
            <v>2</v>
          </cell>
          <cell r="C1491" t="str">
            <v>Kuantitas satuan adalah kuantitas setiap komponen untuk menyelesaikan satu satuan pekerjaan dari nomor</v>
          </cell>
        </row>
        <row r="1492">
          <cell r="C1492" t="str">
            <v>mata pembayaran.</v>
          </cell>
        </row>
        <row r="1493">
          <cell r="A1493">
            <v>3</v>
          </cell>
          <cell r="C1493" t="str">
            <v>Biaya satuan untuk peralatan sudah termasuk bahan bakar, bahan habis dipakai dan operator.</v>
          </cell>
        </row>
        <row r="1494">
          <cell r="A1494">
            <v>4</v>
          </cell>
          <cell r="C1494" t="str">
            <v>Biaya satuan sudah termasuk pengeluaran untuk seluruh pajak yang berkaitan (tetapi tidak termasuk PPN</v>
          </cell>
        </row>
        <row r="1495">
          <cell r="C1495" t="str">
            <v>yang dibayar dari kontrak) dan biaya-biaya lainnya.</v>
          </cell>
        </row>
        <row r="1614">
          <cell r="I1614" t="str">
            <v>Analisa EI-635</v>
          </cell>
        </row>
        <row r="1616">
          <cell r="A1616" t="str">
            <v>FORMULIR STANDAR UNTUK</v>
          </cell>
        </row>
        <row r="1617">
          <cell r="A1617" t="str">
            <v>PEREKAMAN ANALISA MASING-MASING HARGA SATUAN</v>
          </cell>
        </row>
        <row r="1618">
          <cell r="A1618">
            <v>0</v>
          </cell>
        </row>
        <row r="1620">
          <cell r="A1620" t="str">
            <v>Kegiatan</v>
          </cell>
          <cell r="D1620" t="str">
            <v>: Pembangunan Jalan Dinas Bina Marga dan Cipta Karya Prov. NAD</v>
          </cell>
        </row>
        <row r="1621">
          <cell r="A1621" t="str">
            <v>Nama Paket</v>
          </cell>
          <cell r="D1621" t="str">
            <v>: ………….………………………………..</v>
          </cell>
        </row>
        <row r="1622">
          <cell r="A1622" t="str">
            <v>Nomor Paket</v>
          </cell>
          <cell r="D1622" t="str">
            <v>: ………….………………………………..</v>
          </cell>
        </row>
        <row r="1623">
          <cell r="A1623" t="str">
            <v>Tahun Anggaran</v>
          </cell>
          <cell r="D1623" t="str">
            <v>: 2009</v>
          </cell>
        </row>
        <row r="1624">
          <cell r="A1624" t="str">
            <v>Prop / Kab / Kodya</v>
          </cell>
          <cell r="D1624" t="str">
            <v>: ………….………………………………..</v>
          </cell>
        </row>
        <row r="1625">
          <cell r="A1625" t="str">
            <v>ITEM PEMBAYARAN NO.</v>
          </cell>
          <cell r="D1625" t="str">
            <v>:  6.3 (5)</v>
          </cell>
          <cell r="G1625" t="str">
            <v>PERKIRAAN VOL. PEK.</v>
          </cell>
          <cell r="I1625" t="str">
            <v>:</v>
          </cell>
        </row>
        <row r="1626">
          <cell r="A1626" t="str">
            <v>JENIS PEKERJAAN</v>
          </cell>
          <cell r="D1626" t="str">
            <v>:  Lapis Aus Aspal Beton (AC-WC)</v>
          </cell>
          <cell r="G1626" t="str">
            <v>TOTAL HARGA (Rp.)</v>
          </cell>
          <cell r="I1626" t="str">
            <v>:</v>
          </cell>
        </row>
        <row r="1627">
          <cell r="A1627" t="str">
            <v>SATUAN PEMBAYARAN</v>
          </cell>
          <cell r="D1627" t="str">
            <v>:  M2</v>
          </cell>
          <cell r="G1627" t="str">
            <v>% THD. BIAYA PROYEK</v>
          </cell>
          <cell r="I1627" t="str">
            <v>:</v>
          </cell>
        </row>
        <row r="1630">
          <cell r="F1630" t="str">
            <v>PERKIRAAN</v>
          </cell>
          <cell r="G1630" t="str">
            <v>HARGA</v>
          </cell>
          <cell r="H1630" t="str">
            <v>JUMLAH</v>
          </cell>
        </row>
        <row r="1631">
          <cell r="A1631" t="str">
            <v>NO.</v>
          </cell>
          <cell r="C1631" t="str">
            <v>KOMPONEN</v>
          </cell>
          <cell r="E1631" t="str">
            <v>SATUAN</v>
          </cell>
          <cell r="F1631" t="str">
            <v>KUANTITAS</v>
          </cell>
          <cell r="G1631" t="str">
            <v>SATUAN</v>
          </cell>
          <cell r="H1631" t="str">
            <v>HARGA</v>
          </cell>
        </row>
        <row r="1632">
          <cell r="G1632" t="str">
            <v>(Rp.)</v>
          </cell>
          <cell r="H1632" t="str">
            <v>(Rp.)</v>
          </cell>
        </row>
        <row r="1635">
          <cell r="A1635" t="str">
            <v>A.</v>
          </cell>
          <cell r="C1635" t="str">
            <v>TENAGA</v>
          </cell>
        </row>
        <row r="1637">
          <cell r="A1637" t="str">
            <v>1.</v>
          </cell>
          <cell r="C1637" t="str">
            <v>Pekerja</v>
          </cell>
          <cell r="D1637" t="str">
            <v>(L01)</v>
          </cell>
          <cell r="E1637" t="str">
            <v>Jam</v>
          </cell>
        </row>
        <row r="1638">
          <cell r="A1638" t="str">
            <v>2.</v>
          </cell>
          <cell r="C1638" t="str">
            <v>Mandor</v>
          </cell>
          <cell r="D1638" t="str">
            <v>(L03)</v>
          </cell>
          <cell r="E1638" t="str">
            <v>Jam</v>
          </cell>
        </row>
        <row r="1641">
          <cell r="F1641" t="str">
            <v xml:space="preserve">JUMLAH HARGA TENAGA   </v>
          </cell>
        </row>
        <row r="1643">
          <cell r="A1643" t="str">
            <v>B.</v>
          </cell>
          <cell r="C1643" t="str">
            <v>BAHAN</v>
          </cell>
        </row>
        <row r="1645">
          <cell r="A1645" t="str">
            <v>1.</v>
          </cell>
          <cell r="C1645" t="str">
            <v>Agregat Kasar</v>
          </cell>
          <cell r="D1645" t="str">
            <v>(M03)</v>
          </cell>
          <cell r="E1645" t="str">
            <v>M3</v>
          </cell>
          <cell r="F1645">
            <v>1.9915499999999996E-2</v>
          </cell>
        </row>
        <row r="1646">
          <cell r="A1646" t="str">
            <v>2.</v>
          </cell>
          <cell r="C1646" t="str">
            <v>Agregat Halus</v>
          </cell>
          <cell r="D1646" t="str">
            <v>(M04)</v>
          </cell>
          <cell r="E1646" t="str">
            <v>M3</v>
          </cell>
          <cell r="F1646">
            <v>2.8049999999999999E-2</v>
          </cell>
        </row>
        <row r="1647">
          <cell r="A1647" t="str">
            <v>3</v>
          </cell>
          <cell r="C1647" t="str">
            <v>Filler</v>
          </cell>
          <cell r="D1647" t="str">
            <v>(M05)</v>
          </cell>
          <cell r="E1647" t="str">
            <v>Kg</v>
          </cell>
          <cell r="F1647">
            <v>6.5241000000000007</v>
          </cell>
        </row>
        <row r="1648">
          <cell r="A1648" t="str">
            <v>4</v>
          </cell>
          <cell r="C1648" t="str">
            <v>Aspal</v>
          </cell>
          <cell r="D1648" t="str">
            <v>(M10)</v>
          </cell>
          <cell r="E1648" t="str">
            <v>Kg</v>
          </cell>
          <cell r="F1648">
            <v>5.8590000000000018</v>
          </cell>
        </row>
        <row r="1651">
          <cell r="F1651" t="str">
            <v xml:space="preserve">JUMLAH HARGA BAHAN   </v>
          </cell>
        </row>
        <row r="1653">
          <cell r="A1653" t="str">
            <v>C.</v>
          </cell>
          <cell r="C1653" t="str">
            <v>PERALATAN</v>
          </cell>
        </row>
        <row r="1654">
          <cell r="A1654" t="str">
            <v>1.</v>
          </cell>
          <cell r="C1654" t="str">
            <v>Wheel Loader</v>
          </cell>
          <cell r="D1654" t="str">
            <v>(E15)</v>
          </cell>
          <cell r="E1654" t="str">
            <v>Jam</v>
          </cell>
        </row>
        <row r="1655">
          <cell r="A1655" t="str">
            <v>2.</v>
          </cell>
          <cell r="C1655" t="str">
            <v>AMP</v>
          </cell>
          <cell r="D1655" t="str">
            <v>(E01)</v>
          </cell>
          <cell r="E1655" t="str">
            <v>Jam</v>
          </cell>
        </row>
        <row r="1656">
          <cell r="A1656" t="str">
            <v>3.</v>
          </cell>
          <cell r="C1656" t="str">
            <v>Genset</v>
          </cell>
          <cell r="D1656" t="str">
            <v>(E12)</v>
          </cell>
          <cell r="E1656" t="str">
            <v>Jam</v>
          </cell>
        </row>
        <row r="1657">
          <cell r="A1657" t="str">
            <v>4.</v>
          </cell>
          <cell r="C1657" t="str">
            <v>Dump Truck</v>
          </cell>
          <cell r="D1657" t="str">
            <v>(E09)</v>
          </cell>
          <cell r="E1657" t="str">
            <v>Jam</v>
          </cell>
        </row>
        <row r="1658">
          <cell r="A1658" t="str">
            <v>5.</v>
          </cell>
          <cell r="C1658" t="str">
            <v>Asp. Finisher</v>
          </cell>
          <cell r="D1658" t="str">
            <v>(E02)</v>
          </cell>
          <cell r="E1658" t="str">
            <v>Jam</v>
          </cell>
        </row>
        <row r="1659">
          <cell r="A1659" t="str">
            <v>6.</v>
          </cell>
          <cell r="C1659" t="str">
            <v>Tandem Roller</v>
          </cell>
          <cell r="D1659" t="str">
            <v>(E17)</v>
          </cell>
          <cell r="E1659" t="str">
            <v>Jam</v>
          </cell>
        </row>
        <row r="1660">
          <cell r="A1660" t="str">
            <v>7</v>
          </cell>
          <cell r="C1660" t="str">
            <v>P. Tyre Roller</v>
          </cell>
          <cell r="D1660" t="str">
            <v>(E18)</v>
          </cell>
          <cell r="E1660" t="str">
            <v>Jam</v>
          </cell>
        </row>
        <row r="1661">
          <cell r="A1661" t="str">
            <v>8</v>
          </cell>
          <cell r="C1661" t="str">
            <v>Alat Bantu</v>
          </cell>
          <cell r="E1661" t="str">
            <v>Ls</v>
          </cell>
        </row>
        <row r="1663">
          <cell r="F1663" t="str">
            <v xml:space="preserve">JUMLAH HARGA PERALATAN   </v>
          </cell>
        </row>
        <row r="1665">
          <cell r="A1665" t="str">
            <v>D.</v>
          </cell>
          <cell r="C1665" t="str">
            <v>JUMLAH HARGA TENAGA, BAHAN DAN PERALATAN  ( A + B + C )</v>
          </cell>
        </row>
        <row r="1666">
          <cell r="A1666" t="str">
            <v>E.</v>
          </cell>
          <cell r="C1666" t="str">
            <v>OVERHEAD &amp; PROFIT</v>
          </cell>
          <cell r="E1666">
            <v>10</v>
          </cell>
          <cell r="F1666" t="str">
            <v>%  x  D</v>
          </cell>
        </row>
        <row r="1667">
          <cell r="A1667" t="str">
            <v>F.</v>
          </cell>
          <cell r="C1667" t="str">
            <v>HARGA SATUAN PEKERJAAN  ( D + E ) DIBULATKAN</v>
          </cell>
        </row>
        <row r="1668">
          <cell r="A1668" t="str">
            <v>Note: 1</v>
          </cell>
          <cell r="C1668" t="str">
            <v>SATUAN dapat berdasarkan atas jam operasi untuk Tenaga Kerja dan Peralatan, volume dan/atau ukuran</v>
          </cell>
        </row>
        <row r="1669">
          <cell r="C1669" t="str">
            <v>berat untuk bahan-bahan.</v>
          </cell>
        </row>
        <row r="1670">
          <cell r="A1670">
            <v>2</v>
          </cell>
          <cell r="C1670" t="str">
            <v>Kuantitas satuan adalah kuantitas setiap komponen untuk menyelesaikan satu satuan pekerjaan dari nomor</v>
          </cell>
        </row>
        <row r="1671">
          <cell r="C1671" t="str">
            <v>mata pembayaran.</v>
          </cell>
        </row>
        <row r="1672">
          <cell r="A1672">
            <v>3</v>
          </cell>
          <cell r="C1672" t="str">
            <v>Biaya satuan untuk peralatan sudah termasuk bahan bakar, bahan habis dipakai dan operator.</v>
          </cell>
        </row>
        <row r="1673">
          <cell r="A1673">
            <v>4</v>
          </cell>
          <cell r="C1673" t="str">
            <v>Biaya satuan sudah termasuk pengeluaran untuk seluruh pajak yang berkaitan (tetapi tidak termasuk PPN</v>
          </cell>
        </row>
        <row r="1674">
          <cell r="C1674" t="str">
            <v>yang dibayar dari kontrak) dan biaya-biaya lainnya.</v>
          </cell>
        </row>
        <row r="1793">
          <cell r="I1793" t="str">
            <v>Analisa EI-636</v>
          </cell>
        </row>
        <row r="1795">
          <cell r="A1795" t="str">
            <v>FORMULIR STANDAR UNTUK</v>
          </cell>
        </row>
        <row r="1796">
          <cell r="A1796" t="str">
            <v>PEREKAMAN ANALISA MASING-MASING HARGA SATUAN</v>
          </cell>
        </row>
        <row r="1797">
          <cell r="A1797">
            <v>0</v>
          </cell>
        </row>
        <row r="1799">
          <cell r="A1799" t="str">
            <v>Kegiatan</v>
          </cell>
          <cell r="D1799" t="str">
            <v>: Pembangunan Jalan Dinas Bina Marga dan Cipta Karya Prov. NAD</v>
          </cell>
        </row>
        <row r="1800">
          <cell r="A1800" t="str">
            <v>Nama Paket</v>
          </cell>
          <cell r="D1800" t="str">
            <v>: ………….………………………………..</v>
          </cell>
        </row>
        <row r="1801">
          <cell r="A1801" t="str">
            <v>Nomor Paket</v>
          </cell>
          <cell r="D1801" t="str">
            <v>: ………….………………………………..</v>
          </cell>
        </row>
        <row r="1802">
          <cell r="A1802" t="str">
            <v>Tahun Anggaran</v>
          </cell>
          <cell r="D1802" t="str">
            <v>: 2009</v>
          </cell>
          <cell r="E1802">
            <v>0</v>
          </cell>
        </row>
        <row r="1803">
          <cell r="A1803" t="str">
            <v>Prop / Kab / Kodya</v>
          </cell>
          <cell r="D1803" t="str">
            <v>: ………….………………………………..</v>
          </cell>
        </row>
        <row r="1804">
          <cell r="A1804" t="str">
            <v>ITEM PEMBAYARAN NO.</v>
          </cell>
          <cell r="D1804" t="str">
            <v>:  6.3 (6)</v>
          </cell>
          <cell r="G1804" t="str">
            <v>PERKIRAAN VOL. PEK.</v>
          </cell>
          <cell r="I1804" t="str">
            <v>:</v>
          </cell>
        </row>
        <row r="1805">
          <cell r="A1805" t="str">
            <v>JENIS PEKERJAAN</v>
          </cell>
          <cell r="D1805" t="str">
            <v>:  Laston Lapis Pengikat (AC-BC)</v>
          </cell>
          <cell r="G1805" t="str">
            <v>TOTAL HARGA (Rp.)</v>
          </cell>
          <cell r="I1805" t="str">
            <v>:</v>
          </cell>
        </row>
        <row r="1806">
          <cell r="A1806" t="str">
            <v>SATUAN PEMBAYARAN</v>
          </cell>
          <cell r="D1806" t="str">
            <v>:  M3</v>
          </cell>
          <cell r="G1806" t="str">
            <v>% THD. BIAYA PROYEK</v>
          </cell>
          <cell r="I1806" t="str">
            <v>:</v>
          </cell>
        </row>
        <row r="1809">
          <cell r="F1809" t="str">
            <v>PERKIRAAN</v>
          </cell>
          <cell r="G1809" t="str">
            <v>HARGA</v>
          </cell>
          <cell r="H1809" t="str">
            <v>JUMLAH</v>
          </cell>
        </row>
        <row r="1810">
          <cell r="A1810" t="str">
            <v>NO.</v>
          </cell>
          <cell r="C1810" t="str">
            <v>KOMPONEN</v>
          </cell>
          <cell r="E1810" t="str">
            <v>SATUAN</v>
          </cell>
          <cell r="F1810" t="str">
            <v>KUANTITAS</v>
          </cell>
          <cell r="G1810" t="str">
            <v>SATUAN</v>
          </cell>
          <cell r="H1810" t="str">
            <v>HARGA</v>
          </cell>
        </row>
        <row r="1811">
          <cell r="G1811" t="str">
            <v>(Rp.)</v>
          </cell>
          <cell r="H1811" t="str">
            <v>(Rp.)</v>
          </cell>
        </row>
        <row r="1814">
          <cell r="A1814" t="str">
            <v>A.</v>
          </cell>
          <cell r="C1814" t="str">
            <v>TENAGA</v>
          </cell>
        </row>
        <row r="1816">
          <cell r="A1816" t="str">
            <v>1.</v>
          </cell>
          <cell r="C1816" t="str">
            <v>Pekerja</v>
          </cell>
          <cell r="D1816" t="str">
            <v>(L01)</v>
          </cell>
          <cell r="E1816" t="str">
            <v>Jam</v>
          </cell>
        </row>
        <row r="1817">
          <cell r="A1817" t="str">
            <v>2.</v>
          </cell>
          <cell r="C1817" t="str">
            <v>Mandor</v>
          </cell>
          <cell r="D1817" t="str">
            <v>(L03)</v>
          </cell>
          <cell r="E1817" t="str">
            <v>Jam</v>
          </cell>
        </row>
        <row r="1820">
          <cell r="F1820" t="str">
            <v xml:space="preserve">JUMLAH HARGA TENAGA   </v>
          </cell>
        </row>
        <row r="1822">
          <cell r="A1822" t="str">
            <v>B.</v>
          </cell>
          <cell r="C1822" t="str">
            <v>BAHAN</v>
          </cell>
        </row>
        <row r="1824">
          <cell r="A1824" t="str">
            <v>1.</v>
          </cell>
          <cell r="C1824" t="str">
            <v>Agregat Kasar</v>
          </cell>
          <cell r="D1824" t="str">
            <v>(M03)</v>
          </cell>
          <cell r="E1824" t="str">
            <v>M3</v>
          </cell>
          <cell r="F1824">
            <v>0.85813750000000011</v>
          </cell>
        </row>
        <row r="1825">
          <cell r="A1825" t="str">
            <v>2.</v>
          </cell>
          <cell r="C1825" t="str">
            <v>Agregat Halus</v>
          </cell>
          <cell r="D1825" t="str">
            <v>(M04)</v>
          </cell>
          <cell r="E1825" t="str">
            <v>M3</v>
          </cell>
          <cell r="F1825">
            <v>0.34375</v>
          </cell>
        </row>
        <row r="1826">
          <cell r="A1826" t="str">
            <v>3</v>
          </cell>
          <cell r="C1826" t="str">
            <v>Filler</v>
          </cell>
          <cell r="D1826" t="str">
            <v>(M05)</v>
          </cell>
          <cell r="E1826" t="str">
            <v>Kg</v>
          </cell>
          <cell r="F1826">
            <v>163.10249999999999</v>
          </cell>
        </row>
        <row r="1827">
          <cell r="A1827" t="str">
            <v>4</v>
          </cell>
          <cell r="C1827" t="str">
            <v>Aspal</v>
          </cell>
          <cell r="D1827" t="str">
            <v>(M10)</v>
          </cell>
          <cell r="E1827" t="str">
            <v>Kg</v>
          </cell>
          <cell r="F1827">
            <v>141.75</v>
          </cell>
        </row>
        <row r="1830">
          <cell r="F1830" t="str">
            <v xml:space="preserve">JUMLAH HARGA BAHAN   </v>
          </cell>
        </row>
        <row r="1832">
          <cell r="A1832" t="str">
            <v>C.</v>
          </cell>
          <cell r="C1832" t="str">
            <v>PERALATAN</v>
          </cell>
        </row>
        <row r="1833">
          <cell r="A1833" t="str">
            <v>1.</v>
          </cell>
          <cell r="C1833" t="str">
            <v>Wheel Loader</v>
          </cell>
          <cell r="D1833" t="str">
            <v>(E15)</v>
          </cell>
          <cell r="E1833" t="str">
            <v>Jam</v>
          </cell>
        </row>
        <row r="1834">
          <cell r="A1834" t="str">
            <v>2.</v>
          </cell>
          <cell r="C1834" t="str">
            <v>AMP</v>
          </cell>
          <cell r="D1834" t="str">
            <v>(E01)</v>
          </cell>
          <cell r="E1834" t="str">
            <v>Jam</v>
          </cell>
        </row>
        <row r="1835">
          <cell r="A1835" t="str">
            <v>3.</v>
          </cell>
          <cell r="C1835" t="str">
            <v>Genset</v>
          </cell>
          <cell r="D1835" t="str">
            <v>(E12)</v>
          </cell>
          <cell r="E1835" t="str">
            <v>Jam</v>
          </cell>
        </row>
        <row r="1836">
          <cell r="A1836" t="str">
            <v>4.</v>
          </cell>
          <cell r="C1836" t="str">
            <v>Dump Truck</v>
          </cell>
          <cell r="D1836" t="str">
            <v>(E09)</v>
          </cell>
          <cell r="E1836" t="str">
            <v>Jam</v>
          </cell>
        </row>
        <row r="1837">
          <cell r="A1837" t="str">
            <v>5.</v>
          </cell>
          <cell r="C1837" t="str">
            <v>Asphalt Finisher     (E02)</v>
          </cell>
          <cell r="D1837" t="str">
            <v>(E02)</v>
          </cell>
          <cell r="E1837" t="str">
            <v>Jam</v>
          </cell>
        </row>
        <row r="1838">
          <cell r="A1838" t="str">
            <v>6.</v>
          </cell>
          <cell r="C1838" t="str">
            <v>Tandem Roller</v>
          </cell>
          <cell r="D1838" t="str">
            <v>(E17)</v>
          </cell>
          <cell r="E1838" t="str">
            <v>Jam</v>
          </cell>
        </row>
        <row r="1839">
          <cell r="A1839" t="str">
            <v>7</v>
          </cell>
          <cell r="C1839" t="str">
            <v>P. Tyre Roller</v>
          </cell>
          <cell r="D1839" t="str">
            <v>(E18)</v>
          </cell>
          <cell r="E1839" t="str">
            <v>Jam</v>
          </cell>
        </row>
        <row r="1840">
          <cell r="A1840" t="str">
            <v>8</v>
          </cell>
          <cell r="C1840" t="str">
            <v>Alat Bantu</v>
          </cell>
          <cell r="E1840" t="str">
            <v>Ls</v>
          </cell>
        </row>
        <row r="1842">
          <cell r="F1842" t="str">
            <v xml:space="preserve">JUMLAH HARGA PERALATAN   </v>
          </cell>
        </row>
        <row r="1844">
          <cell r="A1844" t="str">
            <v>D.</v>
          </cell>
          <cell r="C1844" t="str">
            <v>JUMLAH HARGA TENAGA, BAHAN DAN PERALATAN  ( A + B + C )</v>
          </cell>
        </row>
        <row r="1845">
          <cell r="A1845" t="str">
            <v>E.</v>
          </cell>
          <cell r="C1845" t="str">
            <v>OVERHEAD &amp; PROFIT</v>
          </cell>
          <cell r="E1845">
            <v>10</v>
          </cell>
          <cell r="F1845" t="str">
            <v>%  x  D</v>
          </cell>
        </row>
        <row r="1846">
          <cell r="A1846" t="str">
            <v>F.</v>
          </cell>
          <cell r="C1846" t="str">
            <v>HARGA SATUAN PEKERJAAN  ( D + E ) DIBULATKAN</v>
          </cell>
        </row>
        <row r="1847">
          <cell r="A1847" t="str">
            <v>Note: 1</v>
          </cell>
          <cell r="C1847" t="str">
            <v>SATUAN dapat berdasarkan atas jam operasi untuk Tenaga Kerja dan Peralatan, volume dan/atau ukuran</v>
          </cell>
        </row>
        <row r="1848">
          <cell r="C1848" t="str">
            <v>berat untuk bahan-bahan.</v>
          </cell>
        </row>
        <row r="1849">
          <cell r="A1849">
            <v>2</v>
          </cell>
          <cell r="C1849" t="str">
            <v>Kuantitas satuan adalah kuantitas setiap komponen untuk menyelesaikan satu satuan pekerjaan dari nomor</v>
          </cell>
        </row>
        <row r="1850">
          <cell r="C1850" t="str">
            <v>mata pembayaran.</v>
          </cell>
        </row>
        <row r="1851">
          <cell r="A1851">
            <v>3</v>
          </cell>
          <cell r="C1851" t="str">
            <v>Biaya satuan untuk peralatan sudah termasuk bahan bakar, bahan habis dipakai dan operator.</v>
          </cell>
        </row>
        <row r="1852">
          <cell r="A1852">
            <v>4</v>
          </cell>
          <cell r="C1852" t="str">
            <v>Biaya satuan sudah termasuk pengeluaran untuk seluruh pajak yang berkaitan (tetapi tidak termasuk PPN</v>
          </cell>
        </row>
        <row r="1853">
          <cell r="C1853" t="str">
            <v>yang dibayar dari kontrak) dan biaya-biaya lainnya.</v>
          </cell>
        </row>
        <row r="2150">
          <cell r="I2150" t="str">
            <v>Analisa EI-65</v>
          </cell>
        </row>
        <row r="2152">
          <cell r="A2152" t="str">
            <v>FORMULIR STANDAR UNTUK</v>
          </cell>
        </row>
        <row r="2153">
          <cell r="A2153" t="str">
            <v>PEREKAMAN ANALISA MASING-MASING HARGA SATUAN</v>
          </cell>
        </row>
        <row r="2154">
          <cell r="A2154">
            <v>0</v>
          </cell>
        </row>
        <row r="2156">
          <cell r="A2156" t="str">
            <v>Kegiatan</v>
          </cell>
          <cell r="D2156" t="str">
            <v>: Pembangunan Jalan Dinas Bina Marga dan Cipta Karya Prov. NAD</v>
          </cell>
        </row>
        <row r="2157">
          <cell r="A2157" t="str">
            <v>Nama Paket</v>
          </cell>
          <cell r="D2157" t="str">
            <v>: ………….………………………………..</v>
          </cell>
        </row>
        <row r="2158">
          <cell r="A2158" t="str">
            <v>Nomor Paket</v>
          </cell>
          <cell r="D2158" t="str">
            <v>: ………….………………………………..</v>
          </cell>
        </row>
        <row r="2159">
          <cell r="A2159" t="str">
            <v>Tahun Anggaran</v>
          </cell>
          <cell r="D2159" t="str">
            <v>: 2009</v>
          </cell>
        </row>
        <row r="2160">
          <cell r="A2160" t="str">
            <v>Prop / Kab / Kodya</v>
          </cell>
          <cell r="D2160" t="str">
            <v>: ………….………………………………..</v>
          </cell>
        </row>
        <row r="2161">
          <cell r="A2161" t="str">
            <v>ITEM PEMBAYARAN NO.</v>
          </cell>
          <cell r="D2161" t="str">
            <v>:  6.5</v>
          </cell>
          <cell r="G2161" t="str">
            <v>PERKIRAAN VOL. PEK.</v>
          </cell>
          <cell r="I2161" t="str">
            <v>:</v>
          </cell>
        </row>
        <row r="2162">
          <cell r="A2162" t="str">
            <v>JENIS PEKERJAAN</v>
          </cell>
          <cell r="D2162" t="str">
            <v>:  Aspal Campuran Dingin</v>
          </cell>
          <cell r="G2162" t="str">
            <v>TOTAL HARGA</v>
          </cell>
          <cell r="I2162" t="str">
            <v>:</v>
          </cell>
        </row>
        <row r="2163">
          <cell r="A2163" t="str">
            <v>SATUAN PEMBAYARAN</v>
          </cell>
          <cell r="D2163" t="str">
            <v>:  M3</v>
          </cell>
          <cell r="G2163" t="str">
            <v>% THD. BIAYA PROYEK</v>
          </cell>
          <cell r="I2163" t="str">
            <v>:</v>
          </cell>
        </row>
        <row r="2166">
          <cell r="F2166" t="str">
            <v>PERKIRAAN</v>
          </cell>
          <cell r="G2166" t="str">
            <v>HARGA</v>
          </cell>
          <cell r="H2166" t="str">
            <v>JUMLAH</v>
          </cell>
        </row>
        <row r="2167">
          <cell r="A2167" t="str">
            <v>NO.</v>
          </cell>
          <cell r="C2167" t="str">
            <v>KOMPONEN</v>
          </cell>
          <cell r="E2167" t="str">
            <v>SATUAN</v>
          </cell>
          <cell r="F2167" t="str">
            <v>KUANTITAS</v>
          </cell>
          <cell r="G2167" t="str">
            <v>SATUAN</v>
          </cell>
          <cell r="H2167" t="str">
            <v>HARGA</v>
          </cell>
        </row>
        <row r="2168">
          <cell r="G2168" t="str">
            <v>(Rp.)</v>
          </cell>
          <cell r="H2168" t="str">
            <v>(Rp.)</v>
          </cell>
        </row>
        <row r="2171">
          <cell r="A2171" t="str">
            <v>A.</v>
          </cell>
          <cell r="C2171" t="str">
            <v>TENAGA</v>
          </cell>
        </row>
        <row r="2173">
          <cell r="A2173" t="str">
            <v>1.</v>
          </cell>
          <cell r="C2173" t="str">
            <v>Pekerja</v>
          </cell>
          <cell r="D2173" t="str">
            <v>(L01)</v>
          </cell>
          <cell r="E2173" t="str">
            <v>jam</v>
          </cell>
        </row>
        <row r="2174">
          <cell r="A2174" t="str">
            <v>2.</v>
          </cell>
          <cell r="C2174" t="str">
            <v>Mandor</v>
          </cell>
          <cell r="D2174" t="str">
            <v>(L03)</v>
          </cell>
          <cell r="E2174" t="str">
            <v>jam</v>
          </cell>
        </row>
        <row r="2177">
          <cell r="F2177" t="str">
            <v xml:space="preserve">JUMLAH HARGA TENAGA   </v>
          </cell>
        </row>
        <row r="2179">
          <cell r="A2179" t="str">
            <v>B.</v>
          </cell>
          <cell r="C2179" t="str">
            <v>BAHAN</v>
          </cell>
        </row>
        <row r="2181">
          <cell r="A2181" t="str">
            <v>1.</v>
          </cell>
          <cell r="C2181" t="str">
            <v>Agregat Halus</v>
          </cell>
          <cell r="D2181" t="str">
            <v>(M04)</v>
          </cell>
          <cell r="E2181" t="str">
            <v>M3</v>
          </cell>
          <cell r="F2181">
            <v>1.1683124999999999</v>
          </cell>
        </row>
        <row r="2182">
          <cell r="A2182" t="str">
            <v>2.</v>
          </cell>
          <cell r="C2182" t="e">
            <v>#REF!</v>
          </cell>
          <cell r="D2182" t="str">
            <v>(M31)</v>
          </cell>
          <cell r="E2182" t="str">
            <v>Kg</v>
          </cell>
          <cell r="F2182">
            <v>140.69999999999999</v>
          </cell>
        </row>
        <row r="2187">
          <cell r="F2187" t="str">
            <v xml:space="preserve">JUMLAH HARGA BAHAN   </v>
          </cell>
        </row>
        <row r="2189">
          <cell r="A2189" t="str">
            <v>C.</v>
          </cell>
          <cell r="C2189" t="str">
            <v>PERALATAN</v>
          </cell>
        </row>
        <row r="2191">
          <cell r="A2191" t="str">
            <v>1.</v>
          </cell>
          <cell r="C2191" t="str">
            <v>Conc. Mixer</v>
          </cell>
          <cell r="D2191" t="str">
            <v>(E06)</v>
          </cell>
          <cell r="E2191" t="str">
            <v>jam</v>
          </cell>
        </row>
        <row r="2192">
          <cell r="A2192" t="str">
            <v>2.</v>
          </cell>
          <cell r="C2192" t="str">
            <v>Tandem Roller</v>
          </cell>
          <cell r="D2192" t="str">
            <v>(E17)</v>
          </cell>
          <cell r="E2192" t="str">
            <v>jam</v>
          </cell>
        </row>
        <row r="2193">
          <cell r="A2193" t="str">
            <v>3.</v>
          </cell>
          <cell r="C2193" t="str">
            <v>Dump Truck</v>
          </cell>
          <cell r="D2193" t="str">
            <v>(E09)</v>
          </cell>
          <cell r="E2193" t="str">
            <v>jam</v>
          </cell>
        </row>
        <row r="2194">
          <cell r="A2194" t="str">
            <v>4.</v>
          </cell>
          <cell r="C2194" t="str">
            <v>Alat Bantu</v>
          </cell>
          <cell r="E2194" t="str">
            <v>Ls</v>
          </cell>
        </row>
        <row r="2199">
          <cell r="F2199" t="str">
            <v xml:space="preserve">JUMLAH HARGA PERALATAN   </v>
          </cell>
        </row>
        <row r="2201">
          <cell r="A2201" t="str">
            <v>D.</v>
          </cell>
          <cell r="C2201" t="str">
            <v>JUMLAH HARGA TENAGA, BAHAN DAN PERALATAN  ( A + B + C )</v>
          </cell>
        </row>
        <row r="2202">
          <cell r="A2202" t="str">
            <v>E.</v>
          </cell>
          <cell r="C2202" t="str">
            <v>OVERHEAD &amp; PROFIT</v>
          </cell>
          <cell r="E2202">
            <v>10</v>
          </cell>
          <cell r="F2202" t="str">
            <v>%  x  D</v>
          </cell>
        </row>
        <row r="2203">
          <cell r="A2203" t="str">
            <v>F.</v>
          </cell>
          <cell r="C2203" t="str">
            <v>HARGA SATUAN PEKERJAAN  ( D + E ) DIBULATKAN</v>
          </cell>
        </row>
        <row r="2204">
          <cell r="A2204" t="str">
            <v>Note: 1</v>
          </cell>
          <cell r="C2204" t="str">
            <v>SATUAN dapat berdasarkan atas jam operasi untuk Tenaga Kerja dan Peralatan, volume dan/atau ukuran</v>
          </cell>
        </row>
        <row r="2205">
          <cell r="C2205" t="str">
            <v>berat untuk bahan-bahan.</v>
          </cell>
        </row>
        <row r="2206">
          <cell r="A2206">
            <v>2</v>
          </cell>
          <cell r="C2206" t="str">
            <v>Kuantitas satuan adalah kuantitas setiap komponen untuk menyelesaikan satu satuan pekerjaan dari nomor</v>
          </cell>
        </row>
        <row r="2207">
          <cell r="C2207" t="str">
            <v>mata pembayaran.</v>
          </cell>
        </row>
        <row r="2208">
          <cell r="A2208">
            <v>3</v>
          </cell>
          <cell r="C2208" t="str">
            <v>Biaya satuan untuk peralatan sudah termasuk bahan bakar, bahan habis dipakai dan operator.</v>
          </cell>
        </row>
        <row r="2209">
          <cell r="A2209">
            <v>4</v>
          </cell>
          <cell r="C2209" t="str">
            <v>Biaya satuan sudah termasuk pengeluaran untuk seluruh pajak yang berkaitan (tetapi tidak termasuk PPN</v>
          </cell>
        </row>
        <row r="2210">
          <cell r="C2210" t="str">
            <v>yang dibayar dari kontrak) dan biaya-biaya lainnya.</v>
          </cell>
        </row>
        <row r="2508">
          <cell r="I2508" t="str">
            <v>Analisa EI-66</v>
          </cell>
        </row>
        <row r="2510">
          <cell r="A2510" t="str">
            <v>FORMULIR STANDAR UNTUK</v>
          </cell>
        </row>
        <row r="2511">
          <cell r="A2511" t="str">
            <v>PEREKAMAN ANALISA MASING-MASING HARGA SATUAN</v>
          </cell>
        </row>
        <row r="2512">
          <cell r="A2512">
            <v>0</v>
          </cell>
        </row>
        <row r="2514">
          <cell r="A2514" t="str">
            <v>Kegiatan</v>
          </cell>
          <cell r="D2514" t="str">
            <v>: Pembangunan Jalan Dinas Bina Marga dan Cipta Karya Prov. NAD</v>
          </cell>
        </row>
        <row r="2515">
          <cell r="A2515" t="str">
            <v>Nama Paket</v>
          </cell>
          <cell r="D2515" t="str">
            <v>: ………….………………………………..</v>
          </cell>
        </row>
        <row r="2516">
          <cell r="A2516" t="str">
            <v>Nomor Paket</v>
          </cell>
          <cell r="D2516" t="str">
            <v>: ………….………………………………..</v>
          </cell>
        </row>
        <row r="2517">
          <cell r="A2517" t="str">
            <v>Tahun Anggaran</v>
          </cell>
          <cell r="D2517" t="str">
            <v>: 2009</v>
          </cell>
        </row>
        <row r="2518">
          <cell r="A2518" t="str">
            <v>Prop / Kab / Kodya</v>
          </cell>
          <cell r="D2518" t="str">
            <v>: ………….………………………………..</v>
          </cell>
        </row>
        <row r="2519">
          <cell r="A2519" t="str">
            <v>ITEM PEMBAYARAN NO.</v>
          </cell>
          <cell r="D2519" t="str">
            <v>:  6.6</v>
          </cell>
          <cell r="G2519" t="str">
            <v>PERKIRAAN VOL. PEK.</v>
          </cell>
          <cell r="I2519" t="str">
            <v>:</v>
          </cell>
        </row>
        <row r="2520">
          <cell r="A2520" t="str">
            <v>JENIS PEKERJAAN</v>
          </cell>
          <cell r="D2520" t="str">
            <v>:  Lapis Pen. Macadam Perata</v>
          </cell>
          <cell r="G2520" t="str">
            <v>TOTAL HARGA</v>
          </cell>
          <cell r="I2520" t="str">
            <v>:</v>
          </cell>
        </row>
        <row r="2521">
          <cell r="A2521" t="str">
            <v>SATUAN PEMBAYARAN</v>
          </cell>
          <cell r="D2521" t="str">
            <v>:  M3</v>
          </cell>
          <cell r="G2521" t="str">
            <v>% THD. BIAYA PROYEK</v>
          </cell>
          <cell r="I2521" t="str">
            <v>:</v>
          </cell>
        </row>
        <row r="2524">
          <cell r="F2524" t="str">
            <v>PERKIRAAN</v>
          </cell>
          <cell r="G2524" t="str">
            <v>HARGA</v>
          </cell>
          <cell r="H2524" t="str">
            <v>JUMLAH</v>
          </cell>
        </row>
        <row r="2525">
          <cell r="A2525" t="str">
            <v>NO.</v>
          </cell>
          <cell r="C2525" t="str">
            <v>KOMPONEN</v>
          </cell>
          <cell r="E2525" t="str">
            <v>SATUAN</v>
          </cell>
          <cell r="F2525" t="str">
            <v>KUANTITAS</v>
          </cell>
          <cell r="G2525" t="str">
            <v>SATUAN</v>
          </cell>
          <cell r="H2525" t="str">
            <v>HARGA</v>
          </cell>
        </row>
        <row r="2526">
          <cell r="G2526" t="str">
            <v>(Rp.)</v>
          </cell>
          <cell r="H2526" t="str">
            <v>(Rp.)</v>
          </cell>
        </row>
        <row r="2529">
          <cell r="A2529" t="str">
            <v>A.</v>
          </cell>
          <cell r="C2529" t="str">
            <v>TENAGA</v>
          </cell>
        </row>
        <row r="2531">
          <cell r="A2531" t="str">
            <v>1.</v>
          </cell>
          <cell r="C2531" t="str">
            <v>Pekerja</v>
          </cell>
          <cell r="D2531" t="str">
            <v>(L01)</v>
          </cell>
          <cell r="E2531" t="str">
            <v>Jam</v>
          </cell>
        </row>
        <row r="2532">
          <cell r="A2532" t="str">
            <v>2.</v>
          </cell>
          <cell r="C2532" t="str">
            <v>Mandor</v>
          </cell>
          <cell r="D2532" t="str">
            <v>(L03)</v>
          </cell>
          <cell r="E2532" t="str">
            <v>Jam</v>
          </cell>
        </row>
        <row r="2535">
          <cell r="F2535" t="str">
            <v xml:space="preserve">JUMLAH HARGA TENAGA   </v>
          </cell>
        </row>
        <row r="2537">
          <cell r="A2537" t="str">
            <v>B.</v>
          </cell>
          <cell r="C2537" t="str">
            <v>BAHAN</v>
          </cell>
        </row>
        <row r="2539">
          <cell r="A2539" t="str">
            <v>1.</v>
          </cell>
          <cell r="C2539" t="e">
            <v>#REF!</v>
          </cell>
          <cell r="D2539" t="str">
            <v>(M03)</v>
          </cell>
          <cell r="E2539" t="str">
            <v>M3</v>
          </cell>
          <cell r="F2539">
            <v>1.8222222222222222</v>
          </cell>
        </row>
        <row r="2540">
          <cell r="A2540" t="str">
            <v>2.</v>
          </cell>
          <cell r="C2540" t="str">
            <v>Agregat Pengunci</v>
          </cell>
          <cell r="D2540" t="str">
            <v>(M04)</v>
          </cell>
          <cell r="E2540" t="str">
            <v>M3</v>
          </cell>
          <cell r="F2540">
            <v>0.22222222222222224</v>
          </cell>
        </row>
        <row r="2541">
          <cell r="A2541" t="str">
            <v>3</v>
          </cell>
          <cell r="C2541" t="e">
            <v>#REF!</v>
          </cell>
          <cell r="D2541" t="str">
            <v>(M10)</v>
          </cell>
          <cell r="E2541" t="str">
            <v>Kg</v>
          </cell>
          <cell r="F2541">
            <v>101</v>
          </cell>
        </row>
        <row r="2545">
          <cell r="F2545" t="str">
            <v xml:space="preserve">JUMLAH HARGA BAHAN   </v>
          </cell>
        </row>
        <row r="2547">
          <cell r="A2547" t="str">
            <v>C.</v>
          </cell>
          <cell r="C2547" t="str">
            <v>PERALATAN</v>
          </cell>
        </row>
        <row r="2549">
          <cell r="A2549" t="str">
            <v>1.</v>
          </cell>
          <cell r="C2549" t="str">
            <v>Wheel Loader</v>
          </cell>
          <cell r="D2549" t="str">
            <v>(E15)</v>
          </cell>
          <cell r="E2549" t="str">
            <v>Jam</v>
          </cell>
        </row>
        <row r="2550">
          <cell r="A2550" t="str">
            <v>2.</v>
          </cell>
          <cell r="C2550" t="str">
            <v>Dump Truck</v>
          </cell>
          <cell r="D2550" t="str">
            <v>(E09)</v>
          </cell>
          <cell r="E2550" t="str">
            <v>Jam</v>
          </cell>
        </row>
        <row r="2551">
          <cell r="A2551" t="str">
            <v>3.</v>
          </cell>
          <cell r="C2551" t="str">
            <v>3-Wheel Roller     (E16)</v>
          </cell>
          <cell r="E2551" t="str">
            <v>Jam</v>
          </cell>
        </row>
        <row r="2552">
          <cell r="A2552" t="str">
            <v>4.</v>
          </cell>
          <cell r="C2552" t="str">
            <v>Asp. Sprayer</v>
          </cell>
          <cell r="D2552" t="str">
            <v>(E03)</v>
          </cell>
          <cell r="E2552" t="str">
            <v>Jam</v>
          </cell>
        </row>
        <row r="2553">
          <cell r="A2553" t="str">
            <v>5.</v>
          </cell>
          <cell r="C2553" t="str">
            <v>Alat bantu</v>
          </cell>
          <cell r="E2553" t="str">
            <v>Ls</v>
          </cell>
        </row>
        <row r="2557">
          <cell r="F2557" t="str">
            <v xml:space="preserve">JUMLAH HARGA PERALATAN   </v>
          </cell>
        </row>
        <row r="2559">
          <cell r="A2559" t="str">
            <v>D.</v>
          </cell>
          <cell r="C2559" t="str">
            <v>JUMLAH HARGA TENAGA, BAHAN DAN PERALATAN  ( A + B + C )</v>
          </cell>
        </row>
        <row r="2560">
          <cell r="A2560" t="str">
            <v>E.</v>
          </cell>
          <cell r="C2560" t="str">
            <v>OVERHEAD &amp; PROFIT</v>
          </cell>
          <cell r="E2560">
            <v>10</v>
          </cell>
          <cell r="F2560" t="str">
            <v>%  x  D</v>
          </cell>
        </row>
        <row r="2561">
          <cell r="A2561" t="str">
            <v>F.</v>
          </cell>
          <cell r="C2561" t="str">
            <v>HARGA SATUAN PEKERJAAN  ( D + E ) DIBULATKAN</v>
          </cell>
        </row>
        <row r="2562">
          <cell r="A2562" t="str">
            <v>Note: 1</v>
          </cell>
          <cell r="C2562" t="str">
            <v>SATUAN dapat berdasarkan atas jam operasi untuk Tenaga Kerja dan Peralatan, volume dan/atau ukuran</v>
          </cell>
        </row>
        <row r="2563">
          <cell r="C2563" t="str">
            <v>berat untuk bahan-bahan.</v>
          </cell>
        </row>
        <row r="2564">
          <cell r="A2564">
            <v>2</v>
          </cell>
          <cell r="C2564" t="str">
            <v>Kuantitas satuan adalah kuantitas setiap komponen untuk menyelesaikan satu satuan pekerjaan dari nomor</v>
          </cell>
        </row>
        <row r="2565">
          <cell r="C2565" t="str">
            <v>mata pembayaran.</v>
          </cell>
        </row>
        <row r="2566">
          <cell r="A2566">
            <v>3</v>
          </cell>
          <cell r="C2566" t="str">
            <v>Biaya satuan untuk peralatan sudah termasuk bahan bakar, bahan habis dipakai dan operator.</v>
          </cell>
        </row>
        <row r="2567">
          <cell r="A2567">
            <v>4</v>
          </cell>
          <cell r="C2567" t="str">
            <v>Biaya satuan sudah termasuk pengeluaran untuk seluruh pajak yang berkaitan (tetapi tidak termasuk PPN</v>
          </cell>
        </row>
        <row r="2568">
          <cell r="C2568" t="str">
            <v>yang dibayar dari kontrak) dan biaya-biaya lainnya.</v>
          </cell>
        </row>
        <row r="2687">
          <cell r="I2687" t="str">
            <v>Analisa EI-66</v>
          </cell>
        </row>
        <row r="2689">
          <cell r="A2689" t="str">
            <v>FORMULIR STANDAR UNTUK</v>
          </cell>
        </row>
        <row r="2690">
          <cell r="A2690" t="str">
            <v>PEREKAMAN ANALISA MASING-MASING HARGA SATUAN</v>
          </cell>
        </row>
        <row r="2691">
          <cell r="A2691">
            <v>0</v>
          </cell>
        </row>
        <row r="2693">
          <cell r="A2693" t="str">
            <v>Kegiatan</v>
          </cell>
          <cell r="D2693" t="str">
            <v>: Pembangunan Jalan Dinas Bina Marga dan Cipta Karya Prov. NAD</v>
          </cell>
        </row>
        <row r="2694">
          <cell r="A2694" t="str">
            <v>Nama Paket</v>
          </cell>
          <cell r="D2694" t="str">
            <v>: ………….………………………………..</v>
          </cell>
        </row>
        <row r="2695">
          <cell r="A2695" t="str">
            <v>Nomor Paket</v>
          </cell>
          <cell r="D2695" t="str">
            <v>: ………….………………………………..</v>
          </cell>
        </row>
        <row r="2696">
          <cell r="A2696" t="str">
            <v>Tahun Anggaran</v>
          </cell>
          <cell r="D2696" t="str">
            <v>: 2009</v>
          </cell>
        </row>
        <row r="2697">
          <cell r="A2697" t="str">
            <v>Prop / Kab / Kodya</v>
          </cell>
          <cell r="D2697" t="str">
            <v>: ………….………………………………..</v>
          </cell>
        </row>
        <row r="2698">
          <cell r="A2698" t="str">
            <v>ITEM PEMBAYARAN NO.</v>
          </cell>
          <cell r="D2698" t="str">
            <v>:  6.6</v>
          </cell>
          <cell r="G2698" t="str">
            <v>PERKIRAAN VOL. PEK.</v>
          </cell>
          <cell r="I2698" t="str">
            <v>:</v>
          </cell>
        </row>
        <row r="2699">
          <cell r="A2699" t="str">
            <v>JENIS PEKERJAAN</v>
          </cell>
          <cell r="D2699" t="str">
            <v>:  Lapis Pen. Macadam Permukaan</v>
          </cell>
          <cell r="G2699" t="str">
            <v>TOTAL HARGA</v>
          </cell>
          <cell r="I2699" t="str">
            <v>:</v>
          </cell>
        </row>
        <row r="2700">
          <cell r="A2700" t="str">
            <v>SATUAN PEMBAYARAN</v>
          </cell>
          <cell r="D2700" t="str">
            <v>:  M3</v>
          </cell>
          <cell r="G2700" t="str">
            <v>% THD. BIAYA PROYEK</v>
          </cell>
          <cell r="I2700" t="str">
            <v>:</v>
          </cell>
        </row>
        <row r="2703">
          <cell r="F2703" t="str">
            <v>PERKIRAAN</v>
          </cell>
          <cell r="G2703" t="str">
            <v>HARGA</v>
          </cell>
          <cell r="H2703" t="str">
            <v>JUMLAH</v>
          </cell>
        </row>
        <row r="2704">
          <cell r="A2704" t="str">
            <v>NO.</v>
          </cell>
          <cell r="C2704" t="str">
            <v>KOMPONEN</v>
          </cell>
          <cell r="E2704" t="str">
            <v>SATUAN</v>
          </cell>
          <cell r="F2704" t="str">
            <v>KUANTITAS</v>
          </cell>
          <cell r="G2704" t="str">
            <v>SATUAN</v>
          </cell>
          <cell r="H2704" t="str">
            <v>HARGA</v>
          </cell>
        </row>
        <row r="2705">
          <cell r="G2705" t="str">
            <v>(Rp.)</v>
          </cell>
          <cell r="H2705" t="str">
            <v>(Rp.)</v>
          </cell>
        </row>
        <row r="2708">
          <cell r="A2708" t="str">
            <v>A.</v>
          </cell>
          <cell r="C2708" t="str">
            <v>TENAGA</v>
          </cell>
        </row>
        <row r="2710">
          <cell r="A2710" t="str">
            <v>1.</v>
          </cell>
          <cell r="C2710" t="str">
            <v>Pekerja</v>
          </cell>
          <cell r="D2710" t="str">
            <v>(L01)</v>
          </cell>
          <cell r="E2710" t="str">
            <v>Jam</v>
          </cell>
        </row>
        <row r="2711">
          <cell r="A2711" t="str">
            <v>2.</v>
          </cell>
          <cell r="C2711" t="str">
            <v>Mandor</v>
          </cell>
          <cell r="D2711" t="str">
            <v>(L03)</v>
          </cell>
          <cell r="E2711" t="str">
            <v>Jam</v>
          </cell>
        </row>
        <row r="2714">
          <cell r="F2714" t="str">
            <v xml:space="preserve">JUMLAH HARGA TENAGA   </v>
          </cell>
        </row>
        <row r="2716">
          <cell r="A2716" t="str">
            <v>B.</v>
          </cell>
          <cell r="C2716" t="str">
            <v>BAHAN</v>
          </cell>
        </row>
        <row r="2718">
          <cell r="A2718" t="str">
            <v>1.</v>
          </cell>
          <cell r="C2718" t="e">
            <v>#REF!</v>
          </cell>
          <cell r="D2718" t="str">
            <v>(M03)</v>
          </cell>
          <cell r="E2718" t="str">
            <v>M3</v>
          </cell>
          <cell r="F2718">
            <v>1.5047619047619047</v>
          </cell>
        </row>
        <row r="2719">
          <cell r="A2719" t="str">
            <v>2.</v>
          </cell>
          <cell r="C2719" t="str">
            <v>Agregat Halus</v>
          </cell>
          <cell r="D2719" t="str">
            <v>(M04)</v>
          </cell>
          <cell r="E2719" t="str">
            <v>M3</v>
          </cell>
          <cell r="F2719">
            <v>0.1333333333333333</v>
          </cell>
        </row>
        <row r="2720">
          <cell r="A2720" t="str">
            <v>3</v>
          </cell>
          <cell r="C2720" t="e">
            <v>#REF!</v>
          </cell>
          <cell r="D2720" t="str">
            <v>(M10)</v>
          </cell>
          <cell r="E2720" t="str">
            <v>Kg</v>
          </cell>
          <cell r="F2720">
            <v>96.671428571428564</v>
          </cell>
        </row>
        <row r="2724">
          <cell r="F2724" t="str">
            <v xml:space="preserve">JUMLAH HARGA BAHAN   </v>
          </cell>
        </row>
        <row r="2726">
          <cell r="A2726" t="str">
            <v>C.</v>
          </cell>
          <cell r="C2726" t="str">
            <v>PERALATAN</v>
          </cell>
        </row>
        <row r="2728">
          <cell r="A2728" t="str">
            <v>1.</v>
          </cell>
          <cell r="C2728" t="str">
            <v>Wheel Loader</v>
          </cell>
          <cell r="D2728" t="str">
            <v>(E15)</v>
          </cell>
          <cell r="E2728" t="str">
            <v>Jam</v>
          </cell>
        </row>
        <row r="2729">
          <cell r="A2729" t="str">
            <v>2.</v>
          </cell>
          <cell r="C2729" t="str">
            <v>Dump Truck</v>
          </cell>
          <cell r="D2729" t="str">
            <v>(E09)</v>
          </cell>
          <cell r="E2729" t="str">
            <v>Jam</v>
          </cell>
        </row>
        <row r="2730">
          <cell r="A2730" t="str">
            <v>3.</v>
          </cell>
          <cell r="C2730" t="str">
            <v>3-Wheel Roller     (E16)</v>
          </cell>
          <cell r="E2730" t="str">
            <v>Jam</v>
          </cell>
        </row>
        <row r="2731">
          <cell r="A2731" t="str">
            <v>4.</v>
          </cell>
          <cell r="C2731" t="str">
            <v>Asp. Sprayer</v>
          </cell>
          <cell r="D2731" t="str">
            <v>(E03)</v>
          </cell>
          <cell r="E2731" t="str">
            <v>Jam</v>
          </cell>
        </row>
        <row r="2732">
          <cell r="A2732" t="str">
            <v>5.</v>
          </cell>
          <cell r="C2732" t="str">
            <v>Alat bantu</v>
          </cell>
          <cell r="E2732" t="str">
            <v>Ls</v>
          </cell>
        </row>
        <row r="2736">
          <cell r="F2736" t="str">
            <v xml:space="preserve">JUMLAH HARGA PERALATAN   </v>
          </cell>
        </row>
        <row r="2738">
          <cell r="A2738" t="str">
            <v>D.</v>
          </cell>
          <cell r="C2738" t="str">
            <v>JUMLAH HARGA TENAGA, BAHAN DAN PERALATAN  ( A + B + C )</v>
          </cell>
        </row>
        <row r="2739">
          <cell r="A2739" t="str">
            <v>E.</v>
          </cell>
          <cell r="C2739" t="str">
            <v>OVERHEAD &amp; PROFIT</v>
          </cell>
          <cell r="E2739">
            <v>10</v>
          </cell>
          <cell r="F2739" t="str">
            <v>%  x  D</v>
          </cell>
        </row>
        <row r="2740">
          <cell r="A2740" t="str">
            <v>F.</v>
          </cell>
          <cell r="C2740" t="str">
            <v>HARGA SATUAN PEKERJAAN  ( D + E ) DIBULATKAN</v>
          </cell>
        </row>
        <row r="2741">
          <cell r="A2741" t="str">
            <v>Note: 1</v>
          </cell>
          <cell r="C2741" t="str">
            <v>SATUAN dapat berdasarkan atas jam operasi untuk Tenaga Kerja dan Peralatan, volume dan/atau ukuran</v>
          </cell>
        </row>
        <row r="2742">
          <cell r="C2742" t="str">
            <v>berat untuk bahan-bahan.</v>
          </cell>
        </row>
        <row r="2743">
          <cell r="A2743">
            <v>2</v>
          </cell>
          <cell r="C2743" t="str">
            <v>Kuantitas satuan adalah kuantitas setiap komponen untuk menyelesaikan satu satuan pekerjaan dari nomor</v>
          </cell>
        </row>
        <row r="2744">
          <cell r="C2744" t="str">
            <v>mata pembayaran.</v>
          </cell>
        </row>
        <row r="2745">
          <cell r="A2745">
            <v>3</v>
          </cell>
          <cell r="C2745" t="str">
            <v>Biaya satuan untuk peralatan sudah termasuk bahan bakar, bahan habis dipakai dan operator.</v>
          </cell>
        </row>
        <row r="2746">
          <cell r="A2746">
            <v>4</v>
          </cell>
          <cell r="C2746" t="str">
            <v>Biaya satuan sudah termasuk pengeluaran untuk seluruh pajak yang berkaitan (tetapi tidak termasuk PPN</v>
          </cell>
        </row>
        <row r="2747">
          <cell r="C2747" t="str">
            <v>yang dibayar dari kontrak) dan biaya-biaya lainnya.</v>
          </cell>
        </row>
      </sheetData>
      <sheetData sheetId="13" refreshError="1"/>
      <sheetData sheetId="14" refreshError="1"/>
      <sheetData sheetId="15" refreshError="1"/>
      <sheetData sheetId="16">
        <row r="1">
          <cell r="J1" t="str">
            <v>Analisa EI-731</v>
          </cell>
        </row>
        <row r="3">
          <cell r="A3" t="str">
            <v>FORMULIR STANDAR UNTUK</v>
          </cell>
        </row>
        <row r="4">
          <cell r="A4" t="str">
            <v>PEREKAMAN ANALISA MASING-MASING HARGA SATUAN</v>
          </cell>
        </row>
        <row r="6">
          <cell r="A6" t="str">
            <v>Nama Penawar</v>
          </cell>
          <cell r="D6" t="str">
            <v>: CV. MUTYARA ABADI</v>
          </cell>
        </row>
        <row r="7">
          <cell r="A7" t="str">
            <v>Kegiatan</v>
          </cell>
          <cell r="D7" t="str">
            <v>: Pembangunan Jalan Dinas Bina Marga dan Cipta Karya Prov. NAD</v>
          </cell>
        </row>
        <row r="8">
          <cell r="A8" t="str">
            <v>Nama Paket</v>
          </cell>
          <cell r="D8" t="str">
            <v>: Pembangunan Jalan Baru, Penggalian Parit Desa Kende Siblah &amp; Aso Nanggroe</v>
          </cell>
        </row>
        <row r="9">
          <cell r="D9" t="str">
            <v xml:space="preserve">  Kec. Blang Pidie &amp; Kec.Jeumpa, Panjang 3 Km Dengan Lebar 2,5M</v>
          </cell>
        </row>
        <row r="10">
          <cell r="A10" t="str">
            <v>Nomor Paket</v>
          </cell>
          <cell r="D10" t="str">
            <v>: Bang - 104</v>
          </cell>
        </row>
        <row r="11">
          <cell r="A11" t="str">
            <v>Tahun Anggaran</v>
          </cell>
          <cell r="D11" t="str">
            <v>: 2009</v>
          </cell>
        </row>
        <row r="12">
          <cell r="A12" t="str">
            <v>Prop / Kab / Kodya</v>
          </cell>
          <cell r="D12" t="str">
            <v>: Nanggroe Aceh Darussalam Kab. Abdya</v>
          </cell>
        </row>
        <row r="13">
          <cell r="A13" t="str">
            <v>ITEM PEMBAYARAN NO.</v>
          </cell>
          <cell r="D13" t="str">
            <v>:  7.3 (1)</v>
          </cell>
          <cell r="G13" t="str">
            <v>PERKIRAAN VOL. PEK.</v>
          </cell>
          <cell r="I13" t="str">
            <v>:</v>
          </cell>
          <cell r="J13">
            <v>500</v>
          </cell>
          <cell r="K13" t="str">
            <v>Kg</v>
          </cell>
        </row>
        <row r="14">
          <cell r="A14" t="str">
            <v>JENIS PEKERJAAN</v>
          </cell>
          <cell r="D14" t="str">
            <v>:  Baja Tulangan (Polos) U24</v>
          </cell>
          <cell r="G14" t="str">
            <v>TOTAL HARGA (Rp.)</v>
          </cell>
          <cell r="I14" t="str">
            <v>:</v>
          </cell>
          <cell r="J14" t="e">
            <v>#REF!</v>
          </cell>
        </row>
        <row r="15">
          <cell r="A15" t="str">
            <v>SATUAN PEMBAYARAN</v>
          </cell>
          <cell r="D15" t="str">
            <v>:  KG</v>
          </cell>
          <cell r="G15" t="str">
            <v>% THD. BIAYA PROYEK</v>
          </cell>
          <cell r="I15" t="str">
            <v>:</v>
          </cell>
          <cell r="J15" t="e">
            <v>#REF!</v>
          </cell>
          <cell r="K15" t="str">
            <v>%</v>
          </cell>
        </row>
        <row r="18">
          <cell r="F18" t="str">
            <v>PERKIRAAN</v>
          </cell>
          <cell r="G18" t="str">
            <v>HARGA</v>
          </cell>
          <cell r="H18" t="str">
            <v>JUMLAH</v>
          </cell>
        </row>
        <row r="19">
          <cell r="A19" t="str">
            <v>NO.</v>
          </cell>
          <cell r="C19" t="str">
            <v>KOMPONEN</v>
          </cell>
          <cell r="E19" t="str">
            <v>SATUAN</v>
          </cell>
          <cell r="F19" t="str">
            <v>KUANTITAS</v>
          </cell>
          <cell r="G19" t="str">
            <v>SATUAN</v>
          </cell>
          <cell r="H19" t="str">
            <v>HARGA</v>
          </cell>
        </row>
        <row r="20">
          <cell r="G20" t="str">
            <v>(Rp.)</v>
          </cell>
          <cell r="H20" t="str">
            <v>(Rp.)</v>
          </cell>
        </row>
        <row r="23">
          <cell r="A23" t="str">
            <v>A.</v>
          </cell>
          <cell r="C23" t="str">
            <v>TENAGA</v>
          </cell>
        </row>
        <row r="25">
          <cell r="A25" t="str">
            <v>1.</v>
          </cell>
          <cell r="C25" t="str">
            <v>Pekerja Biasa</v>
          </cell>
          <cell r="D25" t="str">
            <v>(L01)</v>
          </cell>
          <cell r="E25" t="str">
            <v>jam</v>
          </cell>
          <cell r="F25">
            <v>0.09</v>
          </cell>
          <cell r="G25">
            <v>7085.7142857142853</v>
          </cell>
          <cell r="J25">
            <v>637.71428571428567</v>
          </cell>
        </row>
        <row r="26">
          <cell r="A26" t="str">
            <v>2.</v>
          </cell>
          <cell r="C26" t="str">
            <v>Tukang</v>
          </cell>
          <cell r="D26" t="str">
            <v>(L02)</v>
          </cell>
          <cell r="E26" t="str">
            <v>jam</v>
          </cell>
          <cell r="F26">
            <v>0.09</v>
          </cell>
          <cell r="G26">
            <v>10471.428571428571</v>
          </cell>
          <cell r="J26">
            <v>942.42857142857133</v>
          </cell>
        </row>
        <row r="27">
          <cell r="A27" t="str">
            <v>3.</v>
          </cell>
          <cell r="C27" t="str">
            <v>Mandor</v>
          </cell>
          <cell r="D27" t="str">
            <v>(L03)</v>
          </cell>
          <cell r="E27" t="str">
            <v>jam</v>
          </cell>
          <cell r="F27">
            <v>0.03</v>
          </cell>
          <cell r="G27">
            <v>9585.7142857142862</v>
          </cell>
          <cell r="J27">
            <v>287.57142857142856</v>
          </cell>
        </row>
        <row r="29">
          <cell r="F29" t="str">
            <v xml:space="preserve">JUMLAH HARGA TENAGA   </v>
          </cell>
          <cell r="J29">
            <v>1867.7142857142853</v>
          </cell>
        </row>
        <row r="31">
          <cell r="A31" t="str">
            <v>B.</v>
          </cell>
          <cell r="C31" t="str">
            <v>BAHAN</v>
          </cell>
        </row>
        <row r="33">
          <cell r="A33" t="str">
            <v>1.</v>
          </cell>
          <cell r="C33" t="str">
            <v>Baja Tulangan (Polos) U24</v>
          </cell>
          <cell r="D33" t="str">
            <v>(M39a)</v>
          </cell>
          <cell r="E33" t="str">
            <v>Kg</v>
          </cell>
          <cell r="F33">
            <v>1.1000000000000001</v>
          </cell>
          <cell r="G33" t="e">
            <v>#REF!</v>
          </cell>
          <cell r="J33" t="e">
            <v>#REF!</v>
          </cell>
        </row>
        <row r="34">
          <cell r="A34" t="str">
            <v>2.</v>
          </cell>
          <cell r="C34" t="str">
            <v>Kawat Beton</v>
          </cell>
          <cell r="D34" t="str">
            <v>(M14)</v>
          </cell>
          <cell r="E34" t="str">
            <v>Kg</v>
          </cell>
          <cell r="F34">
            <v>0.02</v>
          </cell>
          <cell r="G34" t="e">
            <v>#REF!</v>
          </cell>
          <cell r="J34" t="e">
            <v>#REF!</v>
          </cell>
        </row>
        <row r="39">
          <cell r="F39" t="str">
            <v xml:space="preserve">JUMLAH HARGA BAHAN   </v>
          </cell>
          <cell r="J39" t="e">
            <v>#REF!</v>
          </cell>
        </row>
        <row r="41">
          <cell r="A41" t="str">
            <v>C.</v>
          </cell>
          <cell r="C41" t="str">
            <v>PERALATAN</v>
          </cell>
        </row>
        <row r="43">
          <cell r="A43" t="str">
            <v>1.</v>
          </cell>
          <cell r="C43" t="str">
            <v>Alat Bantu</v>
          </cell>
          <cell r="E43" t="str">
            <v>Ls</v>
          </cell>
          <cell r="F43">
            <v>1</v>
          </cell>
          <cell r="G43">
            <v>250</v>
          </cell>
          <cell r="J43">
            <v>250</v>
          </cell>
        </row>
        <row r="50">
          <cell r="F50" t="str">
            <v xml:space="preserve">JUMLAH HARGA PERALATAN   </v>
          </cell>
          <cell r="J50">
            <v>250</v>
          </cell>
        </row>
        <row r="52">
          <cell r="A52" t="str">
            <v>D.</v>
          </cell>
          <cell r="C52" t="str">
            <v>JUMLAH HARGA TENAGA, BAHAN DAN PERALATAN  ( A + B + C )</v>
          </cell>
          <cell r="J52" t="e">
            <v>#REF!</v>
          </cell>
        </row>
        <row r="53">
          <cell r="A53" t="str">
            <v>E.</v>
          </cell>
          <cell r="C53" t="str">
            <v>OVERHEAD &amp; PROFIT</v>
          </cell>
          <cell r="E53">
            <v>10</v>
          </cell>
          <cell r="F53" t="str">
            <v>%  x  D</v>
          </cell>
          <cell r="J53" t="e">
            <v>#REF!</v>
          </cell>
        </row>
        <row r="54">
          <cell r="A54" t="str">
            <v>F.</v>
          </cell>
          <cell r="C54" t="str">
            <v>HARGA SATUAN PEKERJAAN  ( D + E ) DIBULATKAN</v>
          </cell>
          <cell r="J54" t="e">
            <v>#REF!</v>
          </cell>
        </row>
        <row r="55">
          <cell r="A55" t="str">
            <v>Note: 1</v>
          </cell>
          <cell r="C55" t="str">
            <v>SATUAN dapat berdasarkan atas jam operasi untuk Tenaga Kerja dan Peralatan, volume dan/atau ukuran</v>
          </cell>
        </row>
        <row r="56">
          <cell r="C56" t="str">
            <v>berat untuk bahan-bahan.</v>
          </cell>
        </row>
        <row r="57">
          <cell r="A57">
            <v>2</v>
          </cell>
          <cell r="C57" t="str">
            <v>Kuantitas satuan adalah kuantitas setiap komponen untuk menyelesaikan satu satuan pekerjaan dari nomor</v>
          </cell>
        </row>
        <row r="58">
          <cell r="C58" t="str">
            <v>mata pembayaran.</v>
          </cell>
        </row>
        <row r="59">
          <cell r="A59">
            <v>3</v>
          </cell>
          <cell r="C59" t="str">
            <v>Biaya satuan untuk peralatan sudah termasuk bahan bakar, bahan habis dipakai dan operator.</v>
          </cell>
        </row>
        <row r="60">
          <cell r="A60">
            <v>4</v>
          </cell>
          <cell r="C60" t="str">
            <v>Biaya satuan sudah termasuk pengeluaran untuk seluruh pajak yang berkaitan (tetapi tidak termasuk PPN</v>
          </cell>
        </row>
        <row r="61">
          <cell r="C61" t="str">
            <v>yang dibayar dari kontrak) dan biaya-biaya lainnya.</v>
          </cell>
        </row>
        <row r="147">
          <cell r="A147" t="str">
            <v>FORMULIR STANDAR UNTUK</v>
          </cell>
        </row>
        <row r="148">
          <cell r="A148" t="str">
            <v>PEREKAMAN ANALISA MASING-MASING HARGA SATUAN</v>
          </cell>
        </row>
        <row r="149">
          <cell r="A149">
            <v>0</v>
          </cell>
        </row>
        <row r="151">
          <cell r="A151" t="str">
            <v>Kegiatan</v>
          </cell>
          <cell r="D151" t="str">
            <v>: Pembangunan Jalan Dinas Bina Marga dan Cipta Karya Prov. NAD</v>
          </cell>
        </row>
        <row r="152">
          <cell r="A152" t="str">
            <v>Nama Paket</v>
          </cell>
          <cell r="D152" t="str">
            <v>: ………….………………………………..</v>
          </cell>
        </row>
        <row r="153">
          <cell r="A153" t="str">
            <v>Nomor Paket</v>
          </cell>
          <cell r="D153" t="str">
            <v>: ………….………………………………..</v>
          </cell>
        </row>
        <row r="154">
          <cell r="A154" t="str">
            <v>Tahun Anggaran</v>
          </cell>
          <cell r="D154" t="str">
            <v>: 2009</v>
          </cell>
        </row>
        <row r="155">
          <cell r="A155" t="str">
            <v>Prop / Kab / Kodya</v>
          </cell>
          <cell r="D155" t="str">
            <v>: ………….………………………………..</v>
          </cell>
        </row>
        <row r="156">
          <cell r="A156" t="str">
            <v>ITEM PEMBAYARAN NO.</v>
          </cell>
          <cell r="D156" t="str">
            <v>:  7.3 (2)</v>
          </cell>
          <cell r="G156" t="str">
            <v>PERKIRAAN VOL. PEK.</v>
          </cell>
          <cell r="I156" t="str">
            <v>:</v>
          </cell>
        </row>
        <row r="157">
          <cell r="A157" t="str">
            <v>JENIS PEKERJAAN</v>
          </cell>
          <cell r="D157" t="str">
            <v>:  Baja Tulangan (Polos) U32</v>
          </cell>
          <cell r="G157" t="str">
            <v>TOTAL HARGA (Rp.)</v>
          </cell>
          <cell r="I157" t="str">
            <v>:</v>
          </cell>
        </row>
        <row r="158">
          <cell r="A158" t="str">
            <v>SATUAN PEMBAYARAN</v>
          </cell>
          <cell r="D158" t="str">
            <v>:  KG</v>
          </cell>
          <cell r="G158" t="str">
            <v>% THD. BIAYA PROYEK</v>
          </cell>
          <cell r="I158" t="str">
            <v>:</v>
          </cell>
        </row>
        <row r="161">
          <cell r="F161" t="str">
            <v>PERKIRAAN</v>
          </cell>
          <cell r="G161" t="str">
            <v>HARGA</v>
          </cell>
          <cell r="H161" t="str">
            <v>JUMLAH</v>
          </cell>
        </row>
        <row r="162">
          <cell r="A162" t="str">
            <v>NO.</v>
          </cell>
          <cell r="C162" t="str">
            <v>KOMPONEN</v>
          </cell>
          <cell r="E162" t="str">
            <v>SATUAN</v>
          </cell>
          <cell r="F162" t="str">
            <v>KUANTITAS</v>
          </cell>
          <cell r="G162" t="str">
            <v>SATUAN</v>
          </cell>
          <cell r="H162" t="str">
            <v>HARGA</v>
          </cell>
        </row>
        <row r="163">
          <cell r="G163" t="str">
            <v>(Rp.)</v>
          </cell>
          <cell r="H163" t="str">
            <v>(Rp.)</v>
          </cell>
        </row>
        <row r="166">
          <cell r="A166" t="str">
            <v>A.</v>
          </cell>
          <cell r="C166" t="str">
            <v>TENAGA</v>
          </cell>
        </row>
        <row r="168">
          <cell r="A168" t="str">
            <v>1.</v>
          </cell>
          <cell r="C168" t="str">
            <v>Pekerja Biasa</v>
          </cell>
          <cell r="D168" t="str">
            <v>(L01)</v>
          </cell>
          <cell r="E168" t="str">
            <v>jam</v>
          </cell>
        </row>
        <row r="169">
          <cell r="A169" t="str">
            <v>2.</v>
          </cell>
          <cell r="C169" t="str">
            <v>Tukang</v>
          </cell>
          <cell r="D169" t="str">
            <v>(L02)</v>
          </cell>
          <cell r="E169" t="str">
            <v>jam</v>
          </cell>
        </row>
        <row r="170">
          <cell r="A170" t="str">
            <v>3.</v>
          </cell>
          <cell r="C170" t="str">
            <v>Mandor</v>
          </cell>
          <cell r="D170" t="str">
            <v>(L03)</v>
          </cell>
          <cell r="E170" t="str">
            <v>jam</v>
          </cell>
        </row>
        <row r="172">
          <cell r="F172" t="str">
            <v xml:space="preserve">JUMLAH HARGA TENAGA   </v>
          </cell>
        </row>
        <row r="174">
          <cell r="A174" t="str">
            <v>B.</v>
          </cell>
          <cell r="C174" t="str">
            <v>BAHAN</v>
          </cell>
        </row>
        <row r="176">
          <cell r="A176" t="str">
            <v>1.</v>
          </cell>
          <cell r="C176" t="str">
            <v>Baja Tulangan (Polos) U32</v>
          </cell>
          <cell r="D176" t="str">
            <v>(M57a)</v>
          </cell>
          <cell r="E176" t="str">
            <v>Kg</v>
          </cell>
          <cell r="F176">
            <v>1.1000000000000001</v>
          </cell>
        </row>
        <row r="177">
          <cell r="A177" t="str">
            <v>2.</v>
          </cell>
          <cell r="C177" t="str">
            <v>Kawat Beton</v>
          </cell>
          <cell r="D177" t="str">
            <v>(M14)</v>
          </cell>
          <cell r="E177" t="str">
            <v>Kg</v>
          </cell>
          <cell r="F177">
            <v>0.02</v>
          </cell>
        </row>
        <row r="182">
          <cell r="F182" t="str">
            <v xml:space="preserve">JUMLAH HARGA BAHAN   </v>
          </cell>
        </row>
        <row r="184">
          <cell r="A184" t="str">
            <v>C.</v>
          </cell>
          <cell r="C184" t="str">
            <v>PERALATAN</v>
          </cell>
        </row>
        <row r="186">
          <cell r="A186" t="str">
            <v>1.</v>
          </cell>
          <cell r="C186" t="str">
            <v>Alat Bantu</v>
          </cell>
          <cell r="E186" t="str">
            <v>Ls</v>
          </cell>
        </row>
        <row r="194">
          <cell r="F194" t="str">
            <v xml:space="preserve">JUMLAH HARGA PERALATAN   </v>
          </cell>
        </row>
        <row r="196">
          <cell r="A196" t="str">
            <v>D.</v>
          </cell>
          <cell r="C196" t="str">
            <v>JUMLAH HARGA TENAGA, BAHAN DAN PERALATAN  ( A + B + C )</v>
          </cell>
        </row>
        <row r="197">
          <cell r="A197" t="str">
            <v>E.</v>
          </cell>
          <cell r="C197" t="str">
            <v>OVERHEAD &amp; PROFIT</v>
          </cell>
          <cell r="E197">
            <v>10</v>
          </cell>
          <cell r="F197" t="str">
            <v>%  x  D</v>
          </cell>
        </row>
        <row r="198">
          <cell r="A198" t="str">
            <v>F.</v>
          </cell>
          <cell r="C198" t="str">
            <v>HARGA SATUAN PEKERJAAN  ( D + E ) DIBULATKAN</v>
          </cell>
        </row>
        <row r="199">
          <cell r="A199" t="str">
            <v>Note: 1</v>
          </cell>
          <cell r="C199" t="str">
            <v>SATUAN dapat berdasarkan atas jam operasi untuk Tenaga Kerja dan Peralatan, volume dan/atau ukuran</v>
          </cell>
        </row>
        <row r="200">
          <cell r="C200" t="str">
            <v>berat untuk bahan-bahan.</v>
          </cell>
        </row>
        <row r="201">
          <cell r="A201">
            <v>2</v>
          </cell>
          <cell r="C201" t="str">
            <v>Kuantitas satuan adalah kuantitas setiap komponen untuk menyelesaikan satu satuan pekerjaan dari nomor</v>
          </cell>
        </row>
        <row r="202">
          <cell r="C202" t="str">
            <v>mata pembayaran.</v>
          </cell>
        </row>
        <row r="203">
          <cell r="A203">
            <v>3</v>
          </cell>
          <cell r="C203" t="str">
            <v>Biaya satuan untuk peralatan sudah termasuk bahan bakar, bahan habis dipakai dan operator.</v>
          </cell>
        </row>
        <row r="204">
          <cell r="A204">
            <v>4</v>
          </cell>
          <cell r="C204" t="str">
            <v>Biaya satuan sudah termasuk pengeluaran untuk seluruh pajak yang berkaitan (tetapi tidak termasuk PPN</v>
          </cell>
        </row>
        <row r="205">
          <cell r="C205" t="str">
            <v>yang dibayar dari kontrak) dan biaya-biaya lainnya.</v>
          </cell>
        </row>
        <row r="265">
          <cell r="I265" t="str">
            <v>Analisa EI-733</v>
          </cell>
        </row>
        <row r="267">
          <cell r="A267" t="str">
            <v>FORMULIR STANDAR UNTUK</v>
          </cell>
        </row>
        <row r="268">
          <cell r="A268" t="str">
            <v>PEREKAMAN ANALISA MASING-MASING HARGA SATUAN</v>
          </cell>
        </row>
        <row r="269">
          <cell r="A269">
            <v>0</v>
          </cell>
        </row>
        <row r="271">
          <cell r="A271" t="str">
            <v>Kegiatan</v>
          </cell>
          <cell r="D271" t="str">
            <v>: Pembangunan Jalan Dinas Bina Marga dan Cipta Karya Prov. NAD</v>
          </cell>
        </row>
        <row r="272">
          <cell r="A272" t="str">
            <v>Nama Paket</v>
          </cell>
          <cell r="D272" t="str">
            <v>: ………….………………………………..</v>
          </cell>
        </row>
        <row r="273">
          <cell r="A273" t="str">
            <v>Nomor Paket</v>
          </cell>
          <cell r="D273" t="str">
            <v>: ………….………………………………..</v>
          </cell>
        </row>
        <row r="274">
          <cell r="A274" t="str">
            <v>Tahun Anggaran</v>
          </cell>
          <cell r="D274" t="str">
            <v>: 2009</v>
          </cell>
        </row>
        <row r="275">
          <cell r="A275" t="str">
            <v>Prop / Kab / Kodya</v>
          </cell>
          <cell r="D275" t="str">
            <v>: ………….………………………………..</v>
          </cell>
        </row>
        <row r="276">
          <cell r="A276" t="str">
            <v>ITEM PEMBAYARAN NO.</v>
          </cell>
          <cell r="D276" t="str">
            <v>:  7.3 (3)</v>
          </cell>
          <cell r="G276" t="str">
            <v>PERKIRAAN VOL. PEK.</v>
          </cell>
          <cell r="I276" t="str">
            <v>:</v>
          </cell>
        </row>
        <row r="277">
          <cell r="A277" t="str">
            <v>JENIS PEKERJAAN</v>
          </cell>
          <cell r="D277" t="str">
            <v>:  Baja Tulangan (Ulir) D32</v>
          </cell>
          <cell r="G277" t="str">
            <v>TOTAL HARGA (Rp.)</v>
          </cell>
          <cell r="I277" t="str">
            <v>:</v>
          </cell>
        </row>
        <row r="278">
          <cell r="A278" t="str">
            <v>SATUAN PEMBAYARAN</v>
          </cell>
          <cell r="D278" t="str">
            <v>:  KG</v>
          </cell>
          <cell r="G278" t="str">
            <v>% THD. BIAYA PROYEK</v>
          </cell>
          <cell r="I278" t="str">
            <v>:</v>
          </cell>
        </row>
        <row r="281">
          <cell r="F281" t="str">
            <v>PERKIRAAN</v>
          </cell>
          <cell r="G281" t="str">
            <v>HARGA</v>
          </cell>
          <cell r="H281" t="str">
            <v>JUMLAH</v>
          </cell>
        </row>
        <row r="282">
          <cell r="A282" t="str">
            <v>NO.</v>
          </cell>
          <cell r="C282" t="str">
            <v>KOMPONEN</v>
          </cell>
          <cell r="E282" t="str">
            <v>SATUAN</v>
          </cell>
          <cell r="F282" t="str">
            <v>KUANTITAS</v>
          </cell>
          <cell r="G282" t="str">
            <v>SATUAN</v>
          </cell>
          <cell r="H282" t="str">
            <v>HARGA</v>
          </cell>
        </row>
        <row r="283">
          <cell r="G283" t="str">
            <v>(Rp.)</v>
          </cell>
          <cell r="H283" t="str">
            <v>(Rp.)</v>
          </cell>
        </row>
        <row r="286">
          <cell r="A286" t="str">
            <v>A.</v>
          </cell>
          <cell r="C286" t="str">
            <v>TENAGA</v>
          </cell>
        </row>
        <row r="288">
          <cell r="A288" t="str">
            <v>1.</v>
          </cell>
          <cell r="C288" t="str">
            <v>Pekerja Biasa</v>
          </cell>
          <cell r="D288" t="str">
            <v>(L01)</v>
          </cell>
          <cell r="E288" t="str">
            <v>jam</v>
          </cell>
        </row>
        <row r="289">
          <cell r="A289" t="str">
            <v>2.</v>
          </cell>
          <cell r="C289" t="str">
            <v>Tukang</v>
          </cell>
          <cell r="D289" t="str">
            <v>(L02)</v>
          </cell>
          <cell r="E289" t="str">
            <v>jam</v>
          </cell>
        </row>
        <row r="290">
          <cell r="A290" t="str">
            <v>3.</v>
          </cell>
          <cell r="C290" t="str">
            <v>Mandor</v>
          </cell>
          <cell r="D290" t="str">
            <v>(L03)</v>
          </cell>
          <cell r="E290" t="str">
            <v>jam</v>
          </cell>
        </row>
        <row r="292">
          <cell r="F292" t="str">
            <v xml:space="preserve">JUMLAH HARGA TENAGA   </v>
          </cell>
        </row>
        <row r="294">
          <cell r="A294" t="str">
            <v>B.</v>
          </cell>
          <cell r="C294" t="str">
            <v>BAHAN</v>
          </cell>
        </row>
        <row r="296">
          <cell r="A296" t="str">
            <v>1.</v>
          </cell>
          <cell r="C296" t="str">
            <v>Baja Tulangan (Ulir) D32</v>
          </cell>
          <cell r="D296" t="str">
            <v>(M39b)</v>
          </cell>
          <cell r="E296" t="str">
            <v>Kg</v>
          </cell>
          <cell r="F296">
            <v>1.1000000000000001</v>
          </cell>
        </row>
        <row r="297">
          <cell r="A297" t="str">
            <v>2.</v>
          </cell>
          <cell r="C297" t="str">
            <v>Kawat Beton</v>
          </cell>
          <cell r="D297" t="str">
            <v>(M14)</v>
          </cell>
          <cell r="E297" t="str">
            <v>Kg</v>
          </cell>
          <cell r="F297">
            <v>0.02</v>
          </cell>
        </row>
        <row r="302">
          <cell r="F302" t="str">
            <v xml:space="preserve">JUMLAH HARGA BAHAN   </v>
          </cell>
        </row>
        <row r="304">
          <cell r="A304" t="str">
            <v>C.</v>
          </cell>
          <cell r="C304" t="str">
            <v>PERALATAN</v>
          </cell>
        </row>
        <row r="306">
          <cell r="A306" t="str">
            <v>1.</v>
          </cell>
          <cell r="C306" t="str">
            <v>Alat Bantu</v>
          </cell>
          <cell r="E306" t="str">
            <v>Ls</v>
          </cell>
        </row>
        <row r="314">
          <cell r="F314" t="str">
            <v xml:space="preserve">JUMLAH HARGA PERALATAN   </v>
          </cell>
        </row>
        <row r="316">
          <cell r="A316" t="str">
            <v>D.</v>
          </cell>
          <cell r="C316" t="str">
            <v>JUMLAH HARGA TENAGA, BAHAN DAN PERALATAN  ( A + B + C )</v>
          </cell>
        </row>
        <row r="317">
          <cell r="A317" t="str">
            <v>E.</v>
          </cell>
          <cell r="C317" t="str">
            <v>OVERHEAD &amp; PROFIT</v>
          </cell>
          <cell r="E317">
            <v>10</v>
          </cell>
          <cell r="F317" t="str">
            <v>%  x  D</v>
          </cell>
        </row>
        <row r="318">
          <cell r="A318" t="str">
            <v>F.</v>
          </cell>
          <cell r="C318" t="str">
            <v>HARGA SATUAN PEKERJAAN  ( D + E ) DIBULATKAN</v>
          </cell>
        </row>
        <row r="319">
          <cell r="A319" t="str">
            <v>Note: 1</v>
          </cell>
          <cell r="C319" t="str">
            <v>SATUAN dapat berdasarkan atas jam operasi untuk Tenaga Kerja dan Peralatan, volume dan/atau ukuran</v>
          </cell>
        </row>
        <row r="320">
          <cell r="C320" t="str">
            <v>berat untuk bahan-bahan.</v>
          </cell>
        </row>
        <row r="321">
          <cell r="A321">
            <v>2</v>
          </cell>
          <cell r="C321" t="str">
            <v>Kuantitas satuan adalah kuantitas setiap komponen untuk menyelesaikan satu satuan pekerjaan dari nomor</v>
          </cell>
        </row>
        <row r="322">
          <cell r="C322" t="str">
            <v>mata pembayaran.</v>
          </cell>
        </row>
        <row r="323">
          <cell r="A323">
            <v>3</v>
          </cell>
          <cell r="C323" t="str">
            <v>Biaya satuan untuk peralatan sudah termasuk bahan bakar, bahan habis dipakai dan operator.</v>
          </cell>
        </row>
        <row r="324">
          <cell r="A324">
            <v>4</v>
          </cell>
          <cell r="C324" t="str">
            <v>Biaya satuan sudah termasuk pengeluaran untuk seluruh pajak yang berkaitan (tetapi tidak termasuk PPN</v>
          </cell>
        </row>
        <row r="325">
          <cell r="C325" t="str">
            <v>yang dibayar dari kontrak) dan biaya-biaya lainnya.</v>
          </cell>
        </row>
        <row r="385">
          <cell r="I385" t="str">
            <v>Analisa EI-734</v>
          </cell>
        </row>
        <row r="387">
          <cell r="A387" t="str">
            <v>FORMULIR STANDAR UNTUK</v>
          </cell>
        </row>
        <row r="388">
          <cell r="A388" t="str">
            <v>PEREKAMAN ANALISA MASING-MASING HARGA SATUAN</v>
          </cell>
        </row>
        <row r="389">
          <cell r="A389">
            <v>0</v>
          </cell>
        </row>
        <row r="391">
          <cell r="A391" t="str">
            <v>Kegiatan</v>
          </cell>
          <cell r="D391" t="str">
            <v>: Pembangunan Jalan Dinas Bina Marga dan Cipta Karya Prov. NAD</v>
          </cell>
        </row>
        <row r="392">
          <cell r="A392" t="str">
            <v>Nama Paket</v>
          </cell>
          <cell r="D392" t="str">
            <v>: ………….………………………………..</v>
          </cell>
        </row>
        <row r="393">
          <cell r="A393" t="str">
            <v>Nomor Paket</v>
          </cell>
          <cell r="D393" t="str">
            <v>: ………….………………………………..</v>
          </cell>
        </row>
        <row r="394">
          <cell r="A394" t="str">
            <v>Tahun Anggaran</v>
          </cell>
          <cell r="D394" t="str">
            <v>: 2009</v>
          </cell>
        </row>
        <row r="395">
          <cell r="A395" t="str">
            <v>Prop / Kab / Kodya</v>
          </cell>
          <cell r="D395" t="str">
            <v>: ………….………………………………..</v>
          </cell>
        </row>
        <row r="396">
          <cell r="A396" t="str">
            <v>ITEM PEMBAYARAN NO.</v>
          </cell>
          <cell r="D396" t="str">
            <v>:  7.3 (4)</v>
          </cell>
          <cell r="G396" t="str">
            <v>PERKIRAAN VOL. PEK.</v>
          </cell>
          <cell r="I396" t="str">
            <v>:</v>
          </cell>
        </row>
        <row r="397">
          <cell r="A397" t="str">
            <v>JENIS PEKERJAAN</v>
          </cell>
          <cell r="D397" t="str">
            <v>:  Baja Tulangan (Ulir) D39</v>
          </cell>
          <cell r="G397" t="str">
            <v>TOTAL HARGA (Rp.)</v>
          </cell>
          <cell r="I397" t="str">
            <v>:</v>
          </cell>
        </row>
        <row r="398">
          <cell r="A398" t="str">
            <v>SATUAN PEMBAYARAN</v>
          </cell>
          <cell r="D398" t="str">
            <v>:  KG</v>
          </cell>
          <cell r="G398" t="str">
            <v>% THD. BIAYA PROYEK</v>
          </cell>
          <cell r="I398" t="str">
            <v>:</v>
          </cell>
        </row>
        <row r="401">
          <cell r="F401" t="str">
            <v>PERKIRAAN</v>
          </cell>
          <cell r="G401" t="str">
            <v>HARGA</v>
          </cell>
          <cell r="H401" t="str">
            <v>JUMLAH</v>
          </cell>
        </row>
        <row r="402">
          <cell r="A402" t="str">
            <v>NO.</v>
          </cell>
          <cell r="C402" t="str">
            <v>KOMPONEN</v>
          </cell>
          <cell r="E402" t="str">
            <v>SATUAN</v>
          </cell>
          <cell r="F402" t="str">
            <v>KUANTITAS</v>
          </cell>
          <cell r="G402" t="str">
            <v>SATUAN</v>
          </cell>
          <cell r="H402" t="str">
            <v>HARGA</v>
          </cell>
        </row>
        <row r="403">
          <cell r="G403" t="str">
            <v>(Rp.)</v>
          </cell>
          <cell r="H403" t="str">
            <v>(Rp.)</v>
          </cell>
        </row>
        <row r="406">
          <cell r="A406" t="str">
            <v>A.</v>
          </cell>
          <cell r="C406" t="str">
            <v>TENAGA</v>
          </cell>
        </row>
        <row r="408">
          <cell r="A408" t="str">
            <v>1.</v>
          </cell>
          <cell r="C408" t="str">
            <v>Pekerja Biasa</v>
          </cell>
          <cell r="D408" t="str">
            <v>(L01)</v>
          </cell>
          <cell r="E408" t="str">
            <v>jam</v>
          </cell>
        </row>
        <row r="409">
          <cell r="A409" t="str">
            <v>2.</v>
          </cell>
          <cell r="C409" t="str">
            <v>Tukang</v>
          </cell>
          <cell r="D409" t="str">
            <v>(L02)</v>
          </cell>
          <cell r="E409" t="str">
            <v>jam</v>
          </cell>
        </row>
        <row r="410">
          <cell r="A410" t="str">
            <v>3.</v>
          </cell>
          <cell r="C410" t="str">
            <v>Mandor</v>
          </cell>
          <cell r="D410" t="str">
            <v>(L03)</v>
          </cell>
          <cell r="E410" t="str">
            <v>jam</v>
          </cell>
        </row>
        <row r="412">
          <cell r="F412" t="str">
            <v xml:space="preserve">JUMLAH HARGA TENAGA   </v>
          </cell>
        </row>
        <row r="414">
          <cell r="A414" t="str">
            <v>B.</v>
          </cell>
          <cell r="C414" t="str">
            <v>BAHAN</v>
          </cell>
        </row>
        <row r="416">
          <cell r="A416" t="str">
            <v>1.</v>
          </cell>
          <cell r="C416" t="str">
            <v>Baja Tulangan (Ulir) D39</v>
          </cell>
          <cell r="D416" t="str">
            <v>(M57b)</v>
          </cell>
          <cell r="E416" t="str">
            <v>Kg</v>
          </cell>
          <cell r="F416">
            <v>1.1000000000000001</v>
          </cell>
        </row>
        <row r="417">
          <cell r="A417" t="str">
            <v>2.</v>
          </cell>
          <cell r="C417" t="str">
            <v>Kawat Beton</v>
          </cell>
          <cell r="D417" t="str">
            <v>(M14)</v>
          </cell>
          <cell r="E417" t="str">
            <v>Kg</v>
          </cell>
          <cell r="F417">
            <v>0.02</v>
          </cell>
        </row>
        <row r="422">
          <cell r="F422" t="str">
            <v xml:space="preserve">JUMLAH HARGA BAHAN   </v>
          </cell>
        </row>
        <row r="424">
          <cell r="A424" t="str">
            <v>C.</v>
          </cell>
          <cell r="C424" t="str">
            <v>PERALATAN</v>
          </cell>
        </row>
        <row r="426">
          <cell r="A426" t="str">
            <v>1.</v>
          </cell>
          <cell r="C426" t="str">
            <v>Alat Bantu</v>
          </cell>
          <cell r="E426" t="str">
            <v>Ls</v>
          </cell>
        </row>
        <row r="434">
          <cell r="F434" t="str">
            <v xml:space="preserve">JUMLAH HARGA PERALATAN   </v>
          </cell>
        </row>
        <row r="436">
          <cell r="A436" t="str">
            <v>D.</v>
          </cell>
          <cell r="C436" t="str">
            <v>JUMLAH HARGA TENAGA, BAHAN DAN PERALATAN  ( A + B + C )</v>
          </cell>
        </row>
        <row r="437">
          <cell r="A437" t="str">
            <v>E.</v>
          </cell>
          <cell r="C437" t="str">
            <v>OVERHEAD &amp; PROFIT</v>
          </cell>
          <cell r="E437">
            <v>10</v>
          </cell>
          <cell r="F437" t="str">
            <v>%  x  D</v>
          </cell>
        </row>
        <row r="438">
          <cell r="A438" t="str">
            <v>F.</v>
          </cell>
          <cell r="C438" t="str">
            <v>HARGA SATUAN PEKERJAAN  ( D + E ) DIBULATKAN</v>
          </cell>
        </row>
        <row r="439">
          <cell r="A439" t="str">
            <v>Note: 1</v>
          </cell>
          <cell r="C439" t="str">
            <v>SATUAN dapat berdasarkan atas jam operasi untuk Tenaga Kerja dan Peralatan, volume dan/atau ukuran</v>
          </cell>
        </row>
        <row r="440">
          <cell r="C440" t="str">
            <v>berat untuk bahan-bahan.</v>
          </cell>
        </row>
        <row r="441">
          <cell r="A441">
            <v>2</v>
          </cell>
          <cell r="C441" t="str">
            <v>Kuantitas satuan adalah kuantitas setiap komponen untuk menyelesaikan satu satuan pekerjaan dari nomor</v>
          </cell>
        </row>
        <row r="442">
          <cell r="C442" t="str">
            <v>mata pembayaran.</v>
          </cell>
        </row>
        <row r="443">
          <cell r="A443">
            <v>3</v>
          </cell>
          <cell r="C443" t="str">
            <v>Biaya satuan untuk peralatan sudah termasuk bahan bakar, bahan habis dipakai dan operator.</v>
          </cell>
        </row>
        <row r="444">
          <cell r="A444">
            <v>4</v>
          </cell>
          <cell r="C444" t="str">
            <v>Biaya satuan sudah termasuk pengeluaran untuk seluruh pajak yang berkaitan (tetapi tidak termasuk PPN</v>
          </cell>
        </row>
        <row r="445">
          <cell r="C445" t="str">
            <v>yang dibayar dari kontrak) dan biaya-biaya lainnya.</v>
          </cell>
        </row>
        <row r="505">
          <cell r="I505" t="str">
            <v>Analisa EI-735</v>
          </cell>
        </row>
        <row r="507">
          <cell r="A507" t="str">
            <v>FORMULIR STANDAR UNTUK</v>
          </cell>
        </row>
        <row r="508">
          <cell r="A508" t="str">
            <v>PEREKAMAN ANALISA MASING-MASING HARGA SATUAN</v>
          </cell>
        </row>
        <row r="509">
          <cell r="A509">
            <v>0</v>
          </cell>
        </row>
        <row r="511">
          <cell r="A511" t="str">
            <v>Kegiatan</v>
          </cell>
          <cell r="D511" t="str">
            <v>: Pembangunan Jalan Dinas Bina Marga dan Cipta Karya Prov. NAD</v>
          </cell>
        </row>
        <row r="512">
          <cell r="A512" t="str">
            <v>Nama Paket</v>
          </cell>
          <cell r="D512" t="str">
            <v>: ………….………………………………..</v>
          </cell>
        </row>
        <row r="513">
          <cell r="A513" t="str">
            <v>Nomor Paket</v>
          </cell>
          <cell r="D513" t="str">
            <v>: ………….………………………………..</v>
          </cell>
        </row>
        <row r="514">
          <cell r="A514" t="str">
            <v>Tahun Anggaran</v>
          </cell>
          <cell r="D514" t="str">
            <v>: 2009</v>
          </cell>
        </row>
        <row r="515">
          <cell r="A515" t="str">
            <v>Prop / Kab / Kodya</v>
          </cell>
          <cell r="D515" t="str">
            <v>: ………….………………………………..</v>
          </cell>
        </row>
        <row r="516">
          <cell r="A516" t="str">
            <v>ITEM PEMBAYARAN NO.</v>
          </cell>
          <cell r="D516" t="str">
            <v>:  7.3 (5)</v>
          </cell>
          <cell r="G516" t="str">
            <v>PERKIRAAN VOL. PEK.</v>
          </cell>
          <cell r="I516" t="str">
            <v>:</v>
          </cell>
        </row>
        <row r="517">
          <cell r="A517" t="str">
            <v>JENIS PEKERJAAN</v>
          </cell>
          <cell r="D517" t="str">
            <v>:  Baja Tulangan (Ulir) D48</v>
          </cell>
          <cell r="G517" t="str">
            <v>TOTAL HARGA (Rp.)</v>
          </cell>
          <cell r="I517" t="str">
            <v>:</v>
          </cell>
        </row>
        <row r="518">
          <cell r="A518" t="str">
            <v>SATUAN PEMBAYARAN</v>
          </cell>
          <cell r="D518" t="str">
            <v>:  KG</v>
          </cell>
          <cell r="G518" t="str">
            <v>% THD. BIAYA PROYEK</v>
          </cell>
          <cell r="I518" t="str">
            <v>:</v>
          </cell>
        </row>
        <row r="521">
          <cell r="F521" t="str">
            <v>PERKIRAAN</v>
          </cell>
          <cell r="G521" t="str">
            <v>HARGA</v>
          </cell>
          <cell r="H521" t="str">
            <v>JUMLAH</v>
          </cell>
        </row>
        <row r="522">
          <cell r="A522" t="str">
            <v>NO.</v>
          </cell>
          <cell r="C522" t="str">
            <v>KOMPONEN</v>
          </cell>
          <cell r="E522" t="str">
            <v>SATUAN</v>
          </cell>
          <cell r="F522" t="str">
            <v>KUANTITAS</v>
          </cell>
          <cell r="G522" t="str">
            <v>SATUAN</v>
          </cell>
          <cell r="H522" t="str">
            <v>HARGA</v>
          </cell>
        </row>
        <row r="523">
          <cell r="G523" t="str">
            <v>(Rp.)</v>
          </cell>
          <cell r="H523" t="str">
            <v>(Rp.)</v>
          </cell>
        </row>
        <row r="526">
          <cell r="A526" t="str">
            <v>A.</v>
          </cell>
          <cell r="C526" t="str">
            <v>TENAGA</v>
          </cell>
        </row>
        <row r="528">
          <cell r="A528" t="str">
            <v>1.</v>
          </cell>
          <cell r="C528" t="str">
            <v>Pekerja Biasa</v>
          </cell>
          <cell r="D528" t="str">
            <v>(L01)</v>
          </cell>
          <cell r="E528" t="str">
            <v>jam</v>
          </cell>
        </row>
        <row r="529">
          <cell r="A529" t="str">
            <v>2.</v>
          </cell>
          <cell r="C529" t="str">
            <v>Tukang</v>
          </cell>
          <cell r="D529" t="str">
            <v>(L02)</v>
          </cell>
          <cell r="E529" t="str">
            <v>jam</v>
          </cell>
        </row>
        <row r="530">
          <cell r="A530" t="str">
            <v>3.</v>
          </cell>
          <cell r="C530" t="str">
            <v>Mandor</v>
          </cell>
          <cell r="D530" t="str">
            <v>(L03)</v>
          </cell>
          <cell r="E530" t="str">
            <v>jam</v>
          </cell>
        </row>
        <row r="532">
          <cell r="F532" t="str">
            <v xml:space="preserve">JUMLAH HARGA TENAGA   </v>
          </cell>
        </row>
        <row r="534">
          <cell r="A534" t="str">
            <v>B.</v>
          </cell>
          <cell r="C534" t="str">
            <v>BAHAN</v>
          </cell>
        </row>
        <row r="536">
          <cell r="A536" t="str">
            <v>1.</v>
          </cell>
          <cell r="C536" t="str">
            <v>Baja Tulangan (Ulir) D48</v>
          </cell>
          <cell r="D536" t="str">
            <v>(M57c)</v>
          </cell>
          <cell r="E536" t="str">
            <v>Kg</v>
          </cell>
          <cell r="F536">
            <v>1.1000000000000001</v>
          </cell>
        </row>
        <row r="537">
          <cell r="A537" t="str">
            <v>2.</v>
          </cell>
          <cell r="C537" t="str">
            <v>Kawat Beton</v>
          </cell>
          <cell r="D537" t="str">
            <v>(M14)</v>
          </cell>
          <cell r="E537" t="str">
            <v>Kg</v>
          </cell>
          <cell r="F537">
            <v>0.02</v>
          </cell>
        </row>
        <row r="542">
          <cell r="F542" t="str">
            <v xml:space="preserve">JUMLAH HARGA BAHAN   </v>
          </cell>
        </row>
        <row r="544">
          <cell r="A544" t="str">
            <v>C.</v>
          </cell>
          <cell r="C544" t="str">
            <v>PERALATAN</v>
          </cell>
        </row>
        <row r="546">
          <cell r="A546" t="str">
            <v>1.</v>
          </cell>
          <cell r="C546" t="str">
            <v>Alat Bantu</v>
          </cell>
          <cell r="E546" t="str">
            <v>Ls</v>
          </cell>
        </row>
        <row r="554">
          <cell r="F554" t="str">
            <v xml:space="preserve">JUMLAH HARGA PERALATAN   </v>
          </cell>
        </row>
        <row r="556">
          <cell r="A556" t="str">
            <v>D.</v>
          </cell>
          <cell r="C556" t="str">
            <v>JUMLAH HARGA TENAGA, BAHAN DAN PERALATAN  ( A + B + C )</v>
          </cell>
        </row>
        <row r="557">
          <cell r="A557" t="str">
            <v>E.</v>
          </cell>
          <cell r="C557" t="str">
            <v>OVERHEAD &amp; PROFIT</v>
          </cell>
          <cell r="E557">
            <v>10</v>
          </cell>
          <cell r="F557" t="str">
            <v>%  x  D</v>
          </cell>
        </row>
        <row r="558">
          <cell r="A558" t="str">
            <v>F.</v>
          </cell>
          <cell r="C558" t="str">
            <v>HARGA SATUAN PEKERJAAN  ( D + E ) DIBULATKAN</v>
          </cell>
        </row>
        <row r="559">
          <cell r="A559" t="str">
            <v>Note: 1</v>
          </cell>
          <cell r="C559" t="str">
            <v>SATUAN dapat berdasarkan atas jam operasi untuk Tenaga Kerja dan Peralatan, volume dan/atau ukuran</v>
          </cell>
        </row>
        <row r="560">
          <cell r="C560" t="str">
            <v>berat untuk bahan-bahan.</v>
          </cell>
        </row>
        <row r="561">
          <cell r="A561">
            <v>2</v>
          </cell>
          <cell r="C561" t="str">
            <v>Kuantitas satuan adalah kuantitas setiap komponen untuk menyelesaikan satu satuan pekerjaan dari nomor</v>
          </cell>
        </row>
        <row r="562">
          <cell r="C562" t="str">
            <v>mata pembayaran.</v>
          </cell>
        </row>
        <row r="563">
          <cell r="A563">
            <v>3</v>
          </cell>
          <cell r="C563" t="str">
            <v>Biaya satuan untuk peralatan sudah termasuk bahan bakar, bahan habis dipakai dan operator.</v>
          </cell>
        </row>
        <row r="564">
          <cell r="A564">
            <v>4</v>
          </cell>
          <cell r="C564" t="str">
            <v>Biaya satuan sudah termasuk pengeluaran untuk seluruh pajak yang berkaitan (tetapi tidak termasuk PPN</v>
          </cell>
        </row>
        <row r="565">
          <cell r="C565" t="str">
            <v>yang dibayar dari kontrak) dan biaya-biaya lainnya.</v>
          </cell>
        </row>
        <row r="625">
          <cell r="I625" t="str">
            <v>Analisa EI-721</v>
          </cell>
        </row>
        <row r="627">
          <cell r="A627" t="str">
            <v>FORMULIR STANDAR UNTUK</v>
          </cell>
        </row>
        <row r="628">
          <cell r="A628" t="str">
            <v>PEREKAMAN ANALISA MASING-MASING HARGA SATUAN</v>
          </cell>
        </row>
        <row r="629">
          <cell r="A629">
            <v>0</v>
          </cell>
        </row>
        <row r="631">
          <cell r="A631" t="str">
            <v>Kegiatan</v>
          </cell>
          <cell r="D631" t="str">
            <v>: Pembangunan Jalan Dinas Bina Marga dan Cipta Karya Prov. NAD</v>
          </cell>
        </row>
        <row r="632">
          <cell r="A632" t="str">
            <v>Nama Paket</v>
          </cell>
          <cell r="D632" t="str">
            <v>: ………….………………………………..</v>
          </cell>
        </row>
        <row r="633">
          <cell r="A633" t="str">
            <v>Nomor Paket</v>
          </cell>
          <cell r="D633" t="str">
            <v>: ………….………………………………..</v>
          </cell>
        </row>
        <row r="634">
          <cell r="A634" t="str">
            <v>Tahun Anggaran</v>
          </cell>
          <cell r="D634" t="str">
            <v>: 2009</v>
          </cell>
        </row>
        <row r="635">
          <cell r="A635" t="str">
            <v>Prop / Kab / Kodya</v>
          </cell>
          <cell r="D635" t="str">
            <v>: ………….………………………………..</v>
          </cell>
        </row>
        <row r="636">
          <cell r="A636" t="str">
            <v>ITEM PEMBAYARAN NO.</v>
          </cell>
          <cell r="D636" t="str">
            <v>:  7.2 (1)</v>
          </cell>
          <cell r="G636" t="str">
            <v>PERKIRAAN VOL. PEK.</v>
          </cell>
          <cell r="I636" t="str">
            <v>:</v>
          </cell>
        </row>
        <row r="637">
          <cell r="A637" t="str">
            <v>JENIS PEKERJAAN</v>
          </cell>
          <cell r="D637" t="str">
            <v>:  Unit Pracetak Gelagar Tipe I,</v>
          </cell>
          <cell r="G637" t="str">
            <v>TOTAL HARGA (Rp.)</v>
          </cell>
          <cell r="I637" t="str">
            <v>:</v>
          </cell>
        </row>
        <row r="638">
          <cell r="A638" t="str">
            <v>SATUAN PEMBAYARAN</v>
          </cell>
          <cell r="D638" t="str">
            <v>:  Buah</v>
          </cell>
          <cell r="E638" t="str">
            <v>L (m) =</v>
          </cell>
          <cell r="F638">
            <v>28.6</v>
          </cell>
          <cell r="G638" t="str">
            <v>% THD. BIAYA PROYEK</v>
          </cell>
          <cell r="I638" t="str">
            <v>:</v>
          </cell>
        </row>
        <row r="641">
          <cell r="F641" t="str">
            <v>PERKIRAAN</v>
          </cell>
          <cell r="G641" t="str">
            <v>HARGA</v>
          </cell>
          <cell r="H641" t="str">
            <v>JUMLAH</v>
          </cell>
        </row>
        <row r="642">
          <cell r="A642" t="str">
            <v>NO.</v>
          </cell>
          <cell r="C642" t="str">
            <v>KOMPONEN</v>
          </cell>
          <cell r="E642" t="str">
            <v>SATUAN</v>
          </cell>
          <cell r="F642" t="str">
            <v>KUANTITAS</v>
          </cell>
          <cell r="G642" t="str">
            <v>SATUAN</v>
          </cell>
          <cell r="H642" t="str">
            <v>HARGA</v>
          </cell>
        </row>
        <row r="643">
          <cell r="G643" t="str">
            <v>(Rp.)</v>
          </cell>
          <cell r="H643" t="str">
            <v>(Rp.)</v>
          </cell>
        </row>
        <row r="646">
          <cell r="A646" t="str">
            <v>A.</v>
          </cell>
          <cell r="C646" t="str">
            <v>TENAGA</v>
          </cell>
        </row>
        <row r="648">
          <cell r="A648" t="str">
            <v>1.</v>
          </cell>
          <cell r="C648" t="str">
            <v>Pekerja</v>
          </cell>
          <cell r="D648" t="str">
            <v>(L01)</v>
          </cell>
          <cell r="E648" t="str">
            <v>jam</v>
          </cell>
        </row>
        <row r="649">
          <cell r="A649" t="str">
            <v>2.</v>
          </cell>
          <cell r="C649" t="str">
            <v>Tukang</v>
          </cell>
          <cell r="D649" t="str">
            <v>(L02)</v>
          </cell>
          <cell r="E649" t="str">
            <v>jam</v>
          </cell>
        </row>
        <row r="650">
          <cell r="A650" t="str">
            <v>3.</v>
          </cell>
          <cell r="C650" t="str">
            <v>Mandor</v>
          </cell>
          <cell r="D650" t="str">
            <v>(L03)</v>
          </cell>
          <cell r="E650" t="str">
            <v>jam</v>
          </cell>
        </row>
        <row r="652">
          <cell r="F652" t="str">
            <v xml:space="preserve">JUMLAH HARGA TENAGA   </v>
          </cell>
        </row>
        <row r="654">
          <cell r="A654" t="str">
            <v>B.</v>
          </cell>
          <cell r="C654" t="str">
            <v>BAHAN</v>
          </cell>
        </row>
        <row r="656">
          <cell r="A656" t="str">
            <v>1.</v>
          </cell>
          <cell r="C656" t="str">
            <v>Unit Pracetak Tipe I</v>
          </cell>
          <cell r="E656" t="str">
            <v>Buah</v>
          </cell>
          <cell r="F656">
            <v>1</v>
          </cell>
        </row>
        <row r="657">
          <cell r="D657" t="str">
            <v>(M58c)</v>
          </cell>
        </row>
        <row r="658">
          <cell r="C658" t="str">
            <v>Bentang =</v>
          </cell>
          <cell r="D658">
            <v>28.6</v>
          </cell>
        </row>
        <row r="662">
          <cell r="F662" t="str">
            <v xml:space="preserve">JUMLAH HARGA BAHAN   </v>
          </cell>
        </row>
        <row r="664">
          <cell r="A664" t="str">
            <v>C.</v>
          </cell>
          <cell r="C664" t="str">
            <v>PERALATAN</v>
          </cell>
        </row>
        <row r="666">
          <cell r="A666" t="str">
            <v>1.</v>
          </cell>
          <cell r="C666" t="str">
            <v>Dump Truck</v>
          </cell>
          <cell r="D666" t="str">
            <v>(E08)</v>
          </cell>
          <cell r="E666" t="str">
            <v>Ls</v>
          </cell>
        </row>
        <row r="667">
          <cell r="A667" t="str">
            <v>2.</v>
          </cell>
          <cell r="C667" t="str">
            <v>Crane</v>
          </cell>
          <cell r="D667" t="str">
            <v>(E07)</v>
          </cell>
          <cell r="E667" t="str">
            <v>jam</v>
          </cell>
        </row>
        <row r="668">
          <cell r="A668" t="str">
            <v>3.</v>
          </cell>
          <cell r="C668" t="str">
            <v>Alat Bantu</v>
          </cell>
          <cell r="E668" t="str">
            <v>jam</v>
          </cell>
        </row>
        <row r="674">
          <cell r="F674" t="str">
            <v xml:space="preserve">JUMLAH HARGA PERALATAN   </v>
          </cell>
        </row>
        <row r="676">
          <cell r="A676" t="str">
            <v>D.</v>
          </cell>
          <cell r="C676" t="str">
            <v>JUMLAH HARGA TENAGA, BAHAN DAN PERALATAN  ( A + B + C )</v>
          </cell>
        </row>
        <row r="677">
          <cell r="A677" t="str">
            <v>E.</v>
          </cell>
          <cell r="C677" t="str">
            <v>OVERHEAD &amp; PROFIT</v>
          </cell>
          <cell r="E677">
            <v>10</v>
          </cell>
          <cell r="F677" t="str">
            <v>%  x  D</v>
          </cell>
        </row>
        <row r="678">
          <cell r="A678" t="str">
            <v>F.</v>
          </cell>
          <cell r="C678" t="str">
            <v>HARGA SATUAN PEKERJAAN  ( D + E ) DIBULATKAN</v>
          </cell>
        </row>
        <row r="679">
          <cell r="A679" t="str">
            <v>Note: 1</v>
          </cell>
          <cell r="C679" t="str">
            <v>SATUAN dapat berdasarkan atas jam operasi untuk Tenaga Kerja dan Peralatan, volume dan/atau ukuran</v>
          </cell>
        </row>
        <row r="680">
          <cell r="C680" t="str">
            <v>berat untuk bahan-bahan.</v>
          </cell>
        </row>
        <row r="681">
          <cell r="A681">
            <v>2</v>
          </cell>
          <cell r="C681" t="str">
            <v>Kuantitas satuan adalah kuantitas setiap komponen untuk menyelesaikan satu satuan pekerjaan dari nomor</v>
          </cell>
        </row>
        <row r="682">
          <cell r="C682" t="str">
            <v>mata pembayaran.</v>
          </cell>
        </row>
        <row r="683">
          <cell r="A683">
            <v>3</v>
          </cell>
          <cell r="C683" t="str">
            <v>Biaya satuan untuk peralatan sudah termasuk bahan bakar, bahan habis dipakai dan operator.</v>
          </cell>
        </row>
        <row r="684">
          <cell r="A684">
            <v>4</v>
          </cell>
          <cell r="C684" t="str">
            <v>Biaya satuan sudah termasuk pengeluaran untuk seluruh pajak yang berkaitan (tetapi tidak termasuk PPN</v>
          </cell>
        </row>
        <row r="685">
          <cell r="C685" t="str">
            <v>yang dibayar dari kontrak) dan biaya-biaya lainnya.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>
        <row r="1">
          <cell r="I1" t="str">
            <v>Analisa EI-811</v>
          </cell>
        </row>
        <row r="3">
          <cell r="A3" t="str">
            <v>FORMULIR STANDAR UNTUK</v>
          </cell>
        </row>
        <row r="4">
          <cell r="A4" t="str">
            <v>PEREKAMAN ANALISA MASING-MASING HARGA SATUAN</v>
          </cell>
        </row>
        <row r="5">
          <cell r="A5">
            <v>0</v>
          </cell>
        </row>
        <row r="7">
          <cell r="A7" t="str">
            <v>Kegiatan</v>
          </cell>
          <cell r="D7" t="str">
            <v>: Pembangunan Jalan Dinas Bina Marga dan Cipta Karya Prov. NAD</v>
          </cell>
        </row>
        <row r="8">
          <cell r="A8" t="str">
            <v>Nama Paket</v>
          </cell>
          <cell r="D8" t="str">
            <v>: …………………………………………..</v>
          </cell>
        </row>
        <row r="9">
          <cell r="A9" t="str">
            <v>Nomor Paket</v>
          </cell>
          <cell r="D9" t="str">
            <v>: ……………………………………………</v>
          </cell>
        </row>
        <row r="10">
          <cell r="A10" t="str">
            <v>Tahun Anggaran</v>
          </cell>
          <cell r="D10" t="str">
            <v>: 2009</v>
          </cell>
        </row>
        <row r="11">
          <cell r="A11" t="str">
            <v>Prop / Kab / Kodya</v>
          </cell>
          <cell r="D11" t="str">
            <v>: .......................................</v>
          </cell>
        </row>
        <row r="12">
          <cell r="A12" t="str">
            <v>MATA PEMBAYARAN NO.</v>
          </cell>
          <cell r="D12" t="str">
            <v>:  8.1 (1)</v>
          </cell>
          <cell r="G12" t="str">
            <v>PERKIRAAN VOL. PEK.</v>
          </cell>
          <cell r="I12" t="str">
            <v>:</v>
          </cell>
        </row>
        <row r="13">
          <cell r="A13" t="str">
            <v>JENIS PEKERJAAN</v>
          </cell>
          <cell r="D13" t="str">
            <v>:  Pondasi Agregat Kls. A Untuk -</v>
          </cell>
          <cell r="G13" t="str">
            <v>TOTAL HARGA (Rp.)</v>
          </cell>
          <cell r="I13" t="str">
            <v>:</v>
          </cell>
        </row>
        <row r="14">
          <cell r="A14" t="str">
            <v>SATUAN PEMBAYARAN</v>
          </cell>
          <cell r="D14" t="str">
            <v>:  M3</v>
          </cell>
          <cell r="E14" t="str">
            <v xml:space="preserve">                   Pek. Minor</v>
          </cell>
          <cell r="G14" t="str">
            <v>% THD. BIAYA PROYEK</v>
          </cell>
          <cell r="I14" t="str">
            <v>:</v>
          </cell>
        </row>
        <row r="17">
          <cell r="F17" t="str">
            <v>PERKIRAAN</v>
          </cell>
          <cell r="G17" t="str">
            <v>HARGA</v>
          </cell>
          <cell r="H17" t="str">
            <v>JUMLAH</v>
          </cell>
        </row>
        <row r="18">
          <cell r="A18" t="str">
            <v>NO.</v>
          </cell>
          <cell r="C18" t="str">
            <v>KOMPONEN</v>
          </cell>
          <cell r="E18" t="str">
            <v>SATUAN</v>
          </cell>
          <cell r="F18" t="str">
            <v>KUANTITAS</v>
          </cell>
          <cell r="G18" t="str">
            <v>SATUAN</v>
          </cell>
          <cell r="H18" t="str">
            <v>HARGA</v>
          </cell>
        </row>
        <row r="19">
          <cell r="G19" t="str">
            <v>(Rp.)</v>
          </cell>
          <cell r="H19" t="str">
            <v>(Rp.)</v>
          </cell>
        </row>
        <row r="22">
          <cell r="A22" t="str">
            <v>A.</v>
          </cell>
          <cell r="C22" t="str">
            <v>TENAGA</v>
          </cell>
        </row>
        <row r="24">
          <cell r="A24" t="str">
            <v>1.</v>
          </cell>
          <cell r="C24" t="str">
            <v>Pekerja Biasa</v>
          </cell>
          <cell r="D24" t="str">
            <v>(L01)</v>
          </cell>
          <cell r="E24" t="str">
            <v>jam</v>
          </cell>
        </row>
        <row r="25">
          <cell r="A25" t="str">
            <v>2.</v>
          </cell>
          <cell r="C25" t="str">
            <v>Mandor</v>
          </cell>
          <cell r="D25" t="str">
            <v>(L03)</v>
          </cell>
          <cell r="E25" t="str">
            <v>jam</v>
          </cell>
        </row>
        <row r="28">
          <cell r="F28" t="str">
            <v xml:space="preserve">JUMLAH HARGA TENAGA   </v>
          </cell>
        </row>
        <row r="30">
          <cell r="A30" t="str">
            <v>B.</v>
          </cell>
          <cell r="C30" t="str">
            <v>BAHAN</v>
          </cell>
        </row>
        <row r="32">
          <cell r="A32" t="str">
            <v>1.</v>
          </cell>
          <cell r="C32" t="str">
            <v>Agregat Kasar    (M03)</v>
          </cell>
          <cell r="D32" t="str">
            <v>(M03)</v>
          </cell>
          <cell r="E32" t="str">
            <v>M3</v>
          </cell>
          <cell r="F32">
            <v>0.66</v>
          </cell>
        </row>
        <row r="33">
          <cell r="A33" t="str">
            <v>2.</v>
          </cell>
          <cell r="C33" t="str">
            <v>Agregat Halus    (M04)</v>
          </cell>
          <cell r="D33" t="str">
            <v>(M04)</v>
          </cell>
          <cell r="E33" t="str">
            <v>M3</v>
          </cell>
          <cell r="F33">
            <v>0.54</v>
          </cell>
        </row>
        <row r="38">
          <cell r="F38" t="str">
            <v xml:space="preserve">JUMLAH HARGA BAHAN   </v>
          </cell>
        </row>
        <row r="40">
          <cell r="A40" t="str">
            <v>C.</v>
          </cell>
          <cell r="C40" t="str">
            <v>PERALATAN</v>
          </cell>
        </row>
        <row r="42">
          <cell r="A42" t="str">
            <v>1.</v>
          </cell>
          <cell r="C42" t="str">
            <v>Wheel Loader</v>
          </cell>
          <cell r="D42" t="str">
            <v>(E15)</v>
          </cell>
          <cell r="E42" t="str">
            <v>jam</v>
          </cell>
        </row>
        <row r="43">
          <cell r="A43" t="str">
            <v>2.</v>
          </cell>
          <cell r="C43" t="str">
            <v>Dump Truck</v>
          </cell>
          <cell r="D43" t="str">
            <v>(E09)</v>
          </cell>
          <cell r="E43" t="str">
            <v>jam</v>
          </cell>
        </row>
        <row r="44">
          <cell r="A44" t="str">
            <v>3.</v>
          </cell>
          <cell r="C44" t="str">
            <v>Pedestrian Roller (E24)</v>
          </cell>
          <cell r="E44" t="str">
            <v>jam</v>
          </cell>
        </row>
        <row r="45">
          <cell r="A45" t="str">
            <v>4.</v>
          </cell>
          <cell r="C45" t="str">
            <v>Water Tanker</v>
          </cell>
          <cell r="D45" t="str">
            <v>(E23)</v>
          </cell>
          <cell r="E45" t="str">
            <v>jam</v>
          </cell>
        </row>
        <row r="46">
          <cell r="A46" t="str">
            <v>5.</v>
          </cell>
          <cell r="C46" t="str">
            <v>Alat Bantu</v>
          </cell>
          <cell r="E46" t="str">
            <v>Ls</v>
          </cell>
        </row>
        <row r="49">
          <cell r="F49" t="str">
            <v xml:space="preserve">JUMLAH HARGA PERALATAN   </v>
          </cell>
        </row>
        <row r="51">
          <cell r="A51" t="str">
            <v>D.</v>
          </cell>
          <cell r="C51" t="str">
            <v>JUMLAH HARGA TENAGA, BAHAN DAN PERALATAN  ( A + B + C )</v>
          </cell>
        </row>
        <row r="52">
          <cell r="A52" t="str">
            <v>E.</v>
          </cell>
          <cell r="C52" t="str">
            <v>OVERHEAD &amp; PROFIT</v>
          </cell>
          <cell r="E52">
            <v>10</v>
          </cell>
          <cell r="F52" t="str">
            <v>%  x  D</v>
          </cell>
        </row>
        <row r="53">
          <cell r="A53" t="str">
            <v>F.</v>
          </cell>
          <cell r="C53" t="str">
            <v>HARGA SATUAN PEKERJAAN  ( D + E ) DIBULATKAN</v>
          </cell>
        </row>
        <row r="54">
          <cell r="A54" t="str">
            <v>Note: 1</v>
          </cell>
          <cell r="C54" t="str">
            <v>SATUAN dapat berdasarkan atas jam operasi untuk Tenaga Kerja dan Peralatan, volume dan/atau ukuran</v>
          </cell>
        </row>
        <row r="55">
          <cell r="C55" t="str">
            <v>berat untuk bahan-bahan.</v>
          </cell>
        </row>
        <row r="56">
          <cell r="A56">
            <v>2</v>
          </cell>
          <cell r="C56" t="str">
            <v>Kuantitas satuan adalah kuantitas setiap komponen untuk menyelesaikan satu satuan pekerjaan dari nomor</v>
          </cell>
        </row>
        <row r="57">
          <cell r="C57" t="str">
            <v>mata pembayaran.</v>
          </cell>
        </row>
        <row r="58">
          <cell r="A58">
            <v>3</v>
          </cell>
          <cell r="C58" t="str">
            <v>Biaya satuan untuk peralatan sudah termasuk bahan bakar, bahan habis dipakai dan operator.</v>
          </cell>
        </row>
        <row r="59">
          <cell r="A59">
            <v>4</v>
          </cell>
          <cell r="C59" t="str">
            <v>Biaya satuan sudah termasuk pengeluaran untuk seluruh pajak yang berkaitan (tetapi tidak termasuk PPN</v>
          </cell>
        </row>
        <row r="60">
          <cell r="C60" t="str">
            <v>yang dibayar dari kontrak) dan biaya-biaya lainnya.</v>
          </cell>
        </row>
        <row r="180">
          <cell r="I180" t="str">
            <v>Analisa EI-812</v>
          </cell>
        </row>
        <row r="182">
          <cell r="A182" t="str">
            <v>FORMULIR STANDAR UNTUK</v>
          </cell>
        </row>
        <row r="183">
          <cell r="A183" t="str">
            <v>PEREKAMAN ANALISA MASING-MASING HARGA SATUAN</v>
          </cell>
        </row>
        <row r="184">
          <cell r="A184">
            <v>0</v>
          </cell>
        </row>
        <row r="186">
          <cell r="A186" t="str">
            <v>Kegiatan</v>
          </cell>
          <cell r="D186" t="str">
            <v>: Pembangunan Jalan Dinas Bina Marga dan Cipta Karya Prov. NAD</v>
          </cell>
        </row>
        <row r="187">
          <cell r="A187" t="str">
            <v>Nama Paket</v>
          </cell>
          <cell r="D187" t="str">
            <v>: …………………………………………..</v>
          </cell>
        </row>
        <row r="188">
          <cell r="A188" t="str">
            <v>Nomor Paket</v>
          </cell>
          <cell r="D188" t="str">
            <v>: ……………………………………………</v>
          </cell>
        </row>
        <row r="189">
          <cell r="A189" t="str">
            <v>Tahun Anggaran</v>
          </cell>
          <cell r="D189" t="str">
            <v>: 2009</v>
          </cell>
        </row>
        <row r="190">
          <cell r="A190" t="str">
            <v>Prop / Kab / Kodya</v>
          </cell>
          <cell r="D190" t="str">
            <v>: .......................................</v>
          </cell>
        </row>
        <row r="191">
          <cell r="A191" t="str">
            <v>MATA PEMBAYARAN NO.</v>
          </cell>
          <cell r="D191" t="str">
            <v>:  8.1 (2)</v>
          </cell>
          <cell r="G191" t="str">
            <v>PERKIRAAN VOL. PEK.</v>
          </cell>
          <cell r="I191" t="str">
            <v>:</v>
          </cell>
        </row>
        <row r="192">
          <cell r="A192" t="str">
            <v>JENIS PEKERJAAN</v>
          </cell>
          <cell r="D192" t="str">
            <v>:  Pondasi Agregat Kls. B Untuk -</v>
          </cell>
          <cell r="G192" t="str">
            <v>TOTAL HARGA (Rp.)</v>
          </cell>
          <cell r="I192" t="str">
            <v>:</v>
          </cell>
        </row>
        <row r="193">
          <cell r="A193" t="str">
            <v>SATUAN PEMBAYARAN</v>
          </cell>
          <cell r="D193" t="str">
            <v>:  M3</v>
          </cell>
          <cell r="E193" t="str">
            <v xml:space="preserve">                   Pek. Minor</v>
          </cell>
          <cell r="F193" t="str">
            <v>Pek. Minor</v>
          </cell>
          <cell r="G193" t="str">
            <v>% THD. BIAYA PROYEK</v>
          </cell>
          <cell r="I193" t="str">
            <v>:</v>
          </cell>
        </row>
        <row r="196">
          <cell r="F196" t="str">
            <v>PERKIRAAN</v>
          </cell>
          <cell r="G196" t="str">
            <v>HARGA</v>
          </cell>
          <cell r="H196" t="str">
            <v>JUMLAH</v>
          </cell>
        </row>
        <row r="197">
          <cell r="A197" t="str">
            <v>NO.</v>
          </cell>
          <cell r="C197" t="str">
            <v>KOMPONEN</v>
          </cell>
          <cell r="E197" t="str">
            <v>SATUAN</v>
          </cell>
          <cell r="F197" t="str">
            <v>KUANTITAS</v>
          </cell>
          <cell r="G197" t="str">
            <v>SATUAN</v>
          </cell>
          <cell r="H197" t="str">
            <v>HARGA</v>
          </cell>
        </row>
        <row r="198">
          <cell r="G198" t="str">
            <v>(Rp.)</v>
          </cell>
          <cell r="H198" t="str">
            <v>(Rp.)</v>
          </cell>
        </row>
        <row r="201">
          <cell r="A201" t="str">
            <v>A.</v>
          </cell>
          <cell r="C201" t="str">
            <v>TENAGA</v>
          </cell>
        </row>
        <row r="203">
          <cell r="A203" t="str">
            <v>1.</v>
          </cell>
          <cell r="C203" t="str">
            <v>Pekerja Biasa</v>
          </cell>
          <cell r="D203" t="str">
            <v>(L01)</v>
          </cell>
          <cell r="E203" t="str">
            <v>jam</v>
          </cell>
          <cell r="F203">
            <v>1.7849174475680496</v>
          </cell>
          <cell r="G203">
            <v>6828.5714285714284</v>
          </cell>
          <cell r="J203">
            <v>12188.436284821824</v>
          </cell>
        </row>
        <row r="204">
          <cell r="A204" t="str">
            <v>2.</v>
          </cell>
          <cell r="C204" t="str">
            <v>Mandor</v>
          </cell>
          <cell r="D204" t="str">
            <v>(L03)</v>
          </cell>
          <cell r="E204" t="str">
            <v>jam</v>
          </cell>
          <cell r="F204">
            <v>7.1396697902721989E-2</v>
          </cell>
          <cell r="G204">
            <v>9271.4285714285706</v>
          </cell>
          <cell r="J204">
            <v>661.94938484095098</v>
          </cell>
        </row>
        <row r="207">
          <cell r="F207" t="str">
            <v xml:space="preserve">JUMLAH HARGA TENAGA   </v>
          </cell>
          <cell r="J207">
            <v>12850.385669662775</v>
          </cell>
        </row>
        <row r="209">
          <cell r="A209" t="str">
            <v>B.</v>
          </cell>
          <cell r="C209" t="str">
            <v>BAHAN</v>
          </cell>
        </row>
        <row r="211">
          <cell r="A211" t="str">
            <v>1.</v>
          </cell>
          <cell r="C211" t="str">
            <v>Agregat Kasar    (M03)</v>
          </cell>
          <cell r="D211" t="str">
            <v>(M03)</v>
          </cell>
          <cell r="E211" t="str">
            <v>M3</v>
          </cell>
          <cell r="F211">
            <v>0.42</v>
          </cell>
          <cell r="G211">
            <v>201070.38567340944</v>
          </cell>
          <cell r="J211">
            <v>84449.561982831961</v>
          </cell>
        </row>
        <row r="212">
          <cell r="A212" t="str">
            <v>2.</v>
          </cell>
          <cell r="C212" t="str">
            <v>Agregat Halus    (M04)</v>
          </cell>
          <cell r="D212" t="str">
            <v>(M04)</v>
          </cell>
          <cell r="E212" t="str">
            <v>M3</v>
          </cell>
          <cell r="F212">
            <v>0.24</v>
          </cell>
          <cell r="G212">
            <v>202144.28634006533</v>
          </cell>
          <cell r="J212">
            <v>48514.628721615678</v>
          </cell>
        </row>
        <row r="213">
          <cell r="A213" t="str">
            <v>3.</v>
          </cell>
          <cell r="C213" t="str">
            <v>Sirtu</v>
          </cell>
          <cell r="D213" t="str">
            <v>(M16)</v>
          </cell>
          <cell r="E213" t="str">
            <v>M3</v>
          </cell>
          <cell r="F213">
            <v>0.54</v>
          </cell>
          <cell r="G213">
            <v>190200</v>
          </cell>
          <cell r="J213">
            <v>102708</v>
          </cell>
        </row>
        <row r="217">
          <cell r="F217" t="str">
            <v xml:space="preserve">JUMLAH HARGA BAHAN   </v>
          </cell>
          <cell r="J217">
            <v>235672.19070444762</v>
          </cell>
        </row>
        <row r="219">
          <cell r="A219" t="str">
            <v>C.</v>
          </cell>
          <cell r="C219" t="str">
            <v>PERALATAN</v>
          </cell>
        </row>
        <row r="221">
          <cell r="A221" t="str">
            <v>1.</v>
          </cell>
          <cell r="C221" t="str">
            <v>Wheel Loader</v>
          </cell>
          <cell r="D221" t="str">
            <v>(E15)</v>
          </cell>
          <cell r="E221" t="str">
            <v>jam</v>
          </cell>
          <cell r="F221">
            <v>7.1396697902721989E-2</v>
          </cell>
          <cell r="G221">
            <v>285227.16274533898</v>
          </cell>
          <cell r="J221">
            <v>20364.277572179486</v>
          </cell>
        </row>
        <row r="222">
          <cell r="A222" t="str">
            <v>2.</v>
          </cell>
          <cell r="C222" t="str">
            <v>Dump Truck</v>
          </cell>
          <cell r="D222" t="str">
            <v>(E09)</v>
          </cell>
          <cell r="E222" t="str">
            <v>jam</v>
          </cell>
          <cell r="F222">
            <v>0.53816390058224872</v>
          </cell>
          <cell r="G222">
            <v>240635.90280124091</v>
          </cell>
          <cell r="J222">
            <v>129501.55607164669</v>
          </cell>
        </row>
        <row r="223">
          <cell r="A223" t="str">
            <v>3.</v>
          </cell>
          <cell r="C223" t="str">
            <v>Pedestrian Roller (E24)</v>
          </cell>
          <cell r="E223" t="str">
            <v>jam</v>
          </cell>
          <cell r="F223">
            <v>3.614457831325301E-2</v>
          </cell>
          <cell r="G223">
            <v>58336.90068128593</v>
          </cell>
          <cell r="J223">
            <v>2108.5626752272024</v>
          </cell>
        </row>
        <row r="224">
          <cell r="A224" t="str">
            <v>4.</v>
          </cell>
          <cell r="C224" t="str">
            <v>Water Tanker</v>
          </cell>
          <cell r="D224" t="str">
            <v>(E23)</v>
          </cell>
          <cell r="E224" t="str">
            <v>jam</v>
          </cell>
          <cell r="F224">
            <v>2.1084337349397592E-2</v>
          </cell>
          <cell r="G224">
            <v>175213.06416438863</v>
          </cell>
          <cell r="J224">
            <v>3694.2513528636159</v>
          </cell>
        </row>
        <row r="225">
          <cell r="A225" t="str">
            <v>5.</v>
          </cell>
          <cell r="C225" t="str">
            <v>Alat Bantu</v>
          </cell>
          <cell r="E225" t="str">
            <v>Ls</v>
          </cell>
          <cell r="F225">
            <v>1</v>
          </cell>
          <cell r="G225">
            <v>250</v>
          </cell>
          <cell r="J225">
            <v>250</v>
          </cell>
        </row>
        <row r="228">
          <cell r="F228" t="str">
            <v xml:space="preserve">JUMLAH HARGA PERALATAN   </v>
          </cell>
          <cell r="J228">
            <v>155918.64767191699</v>
          </cell>
        </row>
        <row r="230">
          <cell r="A230" t="str">
            <v>D.</v>
          </cell>
          <cell r="C230" t="str">
            <v>JUMLAH HARGA TENAGA, BAHAN DAN PERALATAN  ( A + B + C )</v>
          </cell>
          <cell r="J230">
            <v>404441.2240460274</v>
          </cell>
        </row>
        <row r="231">
          <cell r="A231" t="str">
            <v>E.</v>
          </cell>
          <cell r="C231" t="str">
            <v>OVERHEAD &amp; PROFIT</v>
          </cell>
          <cell r="E231">
            <v>10</v>
          </cell>
          <cell r="F231" t="str">
            <v>%  x  D</v>
          </cell>
          <cell r="J231">
            <v>40444.122404602742</v>
          </cell>
        </row>
        <row r="232">
          <cell r="A232" t="str">
            <v>F.</v>
          </cell>
          <cell r="C232" t="str">
            <v>HARGA SATUAN PEKERJAAN  ( D + E ) DIBULATKAN</v>
          </cell>
          <cell r="J232">
            <v>444885</v>
          </cell>
        </row>
        <row r="233">
          <cell r="A233" t="str">
            <v>Note: 1</v>
          </cell>
          <cell r="C233" t="str">
            <v>SATUAN dapat berdasarkan atas jam operasi untuk Tenaga Kerja dan Peralatan, volume dan/atau ukuran</v>
          </cell>
        </row>
        <row r="234">
          <cell r="C234" t="str">
            <v>berat untuk bahan-bahan.</v>
          </cell>
        </row>
        <row r="235">
          <cell r="A235">
            <v>2</v>
          </cell>
          <cell r="C235" t="str">
            <v>Kuantitas satuan adalah kuantitas setiap komponen untuk menyelesaikan satu satuan pekerjaan dari nomor</v>
          </cell>
        </row>
        <row r="236">
          <cell r="C236" t="str">
            <v>mata pembayaran.</v>
          </cell>
        </row>
        <row r="237">
          <cell r="A237">
            <v>3</v>
          </cell>
          <cell r="C237" t="str">
            <v>Biaya satuan untuk peralatan sudah termasuk bahan bakar, bahan habis dipakai dan operator.</v>
          </cell>
        </row>
        <row r="238">
          <cell r="A238">
            <v>4</v>
          </cell>
          <cell r="C238" t="str">
            <v>Biaya satuan sudah termasuk pengeluaran untuk seluruh pajak yang berkaitan (tetapi tidak termasuk PPN</v>
          </cell>
        </row>
        <row r="239">
          <cell r="C239" t="str">
            <v>yang dibayar dari kontrak) dan biaya-biaya lainnya.</v>
          </cell>
        </row>
        <row r="359">
          <cell r="I359" t="str">
            <v>Analisa EI-813</v>
          </cell>
        </row>
        <row r="361">
          <cell r="A361" t="str">
            <v>FORMULIR STANDAR UNTUK</v>
          </cell>
        </row>
        <row r="362">
          <cell r="A362" t="str">
            <v>PEREKAMAN ANALISA MASING-MASING HARGA SATUAN</v>
          </cell>
        </row>
        <row r="363">
          <cell r="A363">
            <v>0</v>
          </cell>
        </row>
        <row r="365">
          <cell r="A365" t="str">
            <v>Kegiatan</v>
          </cell>
          <cell r="D365" t="str">
            <v>: Pembangunan Jalan Dinas Bina Marga dan Cipta Karya Prov. NAD</v>
          </cell>
        </row>
        <row r="366">
          <cell r="A366" t="str">
            <v>Nama Paket</v>
          </cell>
          <cell r="D366" t="str">
            <v>: …………………………………………..</v>
          </cell>
        </row>
        <row r="367">
          <cell r="A367" t="str">
            <v>Nomor Paket</v>
          </cell>
          <cell r="D367" t="str">
            <v>: ……………………………………………</v>
          </cell>
        </row>
        <row r="368">
          <cell r="A368" t="str">
            <v>Tahun Anggaran</v>
          </cell>
          <cell r="D368" t="str">
            <v>: 2009</v>
          </cell>
        </row>
        <row r="369">
          <cell r="A369" t="str">
            <v>Prop / Kab / Kodya</v>
          </cell>
          <cell r="D369" t="str">
            <v>: .......................................</v>
          </cell>
        </row>
        <row r="370">
          <cell r="A370" t="str">
            <v>ITEM PEMBAYARAN NO.</v>
          </cell>
          <cell r="D370" t="str">
            <v>:  8.1 (3)</v>
          </cell>
          <cell r="G370" t="str">
            <v>PERKIRAAN VOL. PEK.</v>
          </cell>
          <cell r="I370" t="str">
            <v>:</v>
          </cell>
        </row>
        <row r="371">
          <cell r="A371" t="str">
            <v>JENIS PEKERJAAN</v>
          </cell>
          <cell r="D371" t="str">
            <v>:  Agregat Utk. Lapis Pond. Jalan -</v>
          </cell>
          <cell r="G371" t="str">
            <v>TOTAL HARGA (Rp.)</v>
          </cell>
          <cell r="I371" t="str">
            <v>:</v>
          </cell>
        </row>
        <row r="372">
          <cell r="D372" t="str">
            <v xml:space="preserve">   Tanpa Penutup Utk. Pek. Minor</v>
          </cell>
          <cell r="G372" t="str">
            <v>% THD. BIAYA PROYEK</v>
          </cell>
          <cell r="I372" t="str">
            <v>:</v>
          </cell>
        </row>
        <row r="373">
          <cell r="A373" t="str">
            <v>SATUAN PEMBAYARAN</v>
          </cell>
          <cell r="D373" t="str">
            <v>:  M3</v>
          </cell>
        </row>
        <row r="376">
          <cell r="F376" t="str">
            <v>PERKIRAAN</v>
          </cell>
          <cell r="G376" t="str">
            <v>HARGA</v>
          </cell>
          <cell r="H376" t="str">
            <v>JUMLAH</v>
          </cell>
        </row>
        <row r="377">
          <cell r="A377" t="str">
            <v>NO.</v>
          </cell>
          <cell r="C377" t="str">
            <v>KOMPONEN</v>
          </cell>
          <cell r="E377" t="str">
            <v>SATUAN</v>
          </cell>
          <cell r="F377" t="str">
            <v>KUANTITAS</v>
          </cell>
          <cell r="G377" t="str">
            <v>SATUAN</v>
          </cell>
          <cell r="H377" t="str">
            <v>HARGA</v>
          </cell>
        </row>
        <row r="378">
          <cell r="G378" t="str">
            <v>(Rp.)</v>
          </cell>
          <cell r="H378" t="str">
            <v>(Rp.)</v>
          </cell>
        </row>
        <row r="381">
          <cell r="A381" t="str">
            <v>A.</v>
          </cell>
          <cell r="C381" t="str">
            <v>TENAGA</v>
          </cell>
        </row>
        <row r="383">
          <cell r="A383" t="str">
            <v>1.</v>
          </cell>
          <cell r="C383" t="str">
            <v>Pekerja Biasa</v>
          </cell>
          <cell r="D383" t="str">
            <v>(L01)</v>
          </cell>
          <cell r="E383" t="str">
            <v>Jam</v>
          </cell>
        </row>
        <row r="384">
          <cell r="A384" t="str">
            <v>2.</v>
          </cell>
          <cell r="C384" t="str">
            <v>Mandor</v>
          </cell>
          <cell r="D384" t="str">
            <v>(L03)</v>
          </cell>
          <cell r="E384" t="str">
            <v>Jam</v>
          </cell>
        </row>
        <row r="387">
          <cell r="F387" t="str">
            <v xml:space="preserve">JUMLAH HARGA TENAGA   </v>
          </cell>
        </row>
        <row r="389">
          <cell r="A389" t="str">
            <v>B.</v>
          </cell>
          <cell r="C389" t="str">
            <v>BAHAN</v>
          </cell>
        </row>
        <row r="391">
          <cell r="A391" t="str">
            <v>1.</v>
          </cell>
          <cell r="C391" t="str">
            <v>Agregat Kelas C (M28)</v>
          </cell>
          <cell r="E391" t="str">
            <v>M3</v>
          </cell>
          <cell r="F391">
            <v>1.2</v>
          </cell>
        </row>
        <row r="397">
          <cell r="F397" t="str">
            <v xml:space="preserve">JUMLAH HARGA BAHAN   </v>
          </cell>
        </row>
        <row r="399">
          <cell r="A399" t="str">
            <v>C.</v>
          </cell>
          <cell r="C399" t="str">
            <v>PERALATAN</v>
          </cell>
        </row>
        <row r="401">
          <cell r="A401" t="str">
            <v>1</v>
          </cell>
          <cell r="C401" t="str">
            <v>Wheel Loader</v>
          </cell>
          <cell r="D401" t="str">
            <v>(E15)</v>
          </cell>
          <cell r="E401" t="str">
            <v>Jam</v>
          </cell>
        </row>
        <row r="402">
          <cell r="A402" t="str">
            <v>2</v>
          </cell>
          <cell r="C402" t="str">
            <v>Dump Truck</v>
          </cell>
          <cell r="D402" t="str">
            <v>(E09)</v>
          </cell>
          <cell r="E402" t="str">
            <v>Jam</v>
          </cell>
        </row>
        <row r="403">
          <cell r="A403" t="str">
            <v>3</v>
          </cell>
          <cell r="C403" t="str">
            <v>Pedestrian Roller (E24)</v>
          </cell>
          <cell r="E403" t="str">
            <v>Jam</v>
          </cell>
        </row>
        <row r="404">
          <cell r="A404" t="str">
            <v>4</v>
          </cell>
          <cell r="C404" t="str">
            <v>Water Tanker</v>
          </cell>
          <cell r="D404" t="str">
            <v>(E23)</v>
          </cell>
          <cell r="E404" t="str">
            <v>Jam</v>
          </cell>
        </row>
        <row r="405">
          <cell r="A405" t="str">
            <v>5</v>
          </cell>
          <cell r="C405" t="str">
            <v>Alat Bantu</v>
          </cell>
          <cell r="E405" t="str">
            <v>Ls</v>
          </cell>
        </row>
        <row r="408">
          <cell r="F408" t="str">
            <v xml:space="preserve">JUMLAH HARGA PERALATAN   </v>
          </cell>
        </row>
        <row r="410">
          <cell r="A410" t="str">
            <v>D.</v>
          </cell>
          <cell r="C410" t="str">
            <v>JUMLAH HARGA TENAGA, BAHAN DAN PERALATAN  ( A + B + C )</v>
          </cell>
        </row>
        <row r="411">
          <cell r="A411" t="str">
            <v>E.</v>
          </cell>
          <cell r="C411" t="str">
            <v>OVERHEAD &amp; PROFIT</v>
          </cell>
          <cell r="E411">
            <v>10</v>
          </cell>
          <cell r="F411" t="str">
            <v>%  x  D</v>
          </cell>
        </row>
        <row r="412">
          <cell r="A412" t="str">
            <v>F.</v>
          </cell>
          <cell r="C412" t="str">
            <v>HARGA SATUAN PEKERJAAN  ( D + E ) DIBULATKAN</v>
          </cell>
        </row>
        <row r="413">
          <cell r="A413" t="str">
            <v>Note: 1</v>
          </cell>
          <cell r="C413" t="str">
            <v>SATUAN dapat berdasarkan atas jam operasi untuk Tenaga Kerja dan Peralatan, volume dan/atau ukuran</v>
          </cell>
        </row>
        <row r="414">
          <cell r="C414" t="str">
            <v>berat untuk bahan-bahan.</v>
          </cell>
        </row>
        <row r="415">
          <cell r="A415">
            <v>2</v>
          </cell>
          <cell r="C415" t="str">
            <v>Kuantitas satuan adalah kuantitas setiap komponen untuk menyelesaikan satu satuan pekerjaan dari nomor</v>
          </cell>
        </row>
        <row r="416">
          <cell r="C416" t="str">
            <v>mata pembayaran.</v>
          </cell>
        </row>
        <row r="417">
          <cell r="A417">
            <v>3</v>
          </cell>
          <cell r="C417" t="str">
            <v>Biaya satuan untuk peralatan sudah termasuk bahan bakar, bahan habis dipakai dan operator.</v>
          </cell>
        </row>
        <row r="418">
          <cell r="A418">
            <v>4</v>
          </cell>
          <cell r="C418" t="str">
            <v>Biaya satuan sudah termasuk pengeluaran untuk seluruh pajak yang berkaitan (tetapi tidak termasuk PPN</v>
          </cell>
        </row>
        <row r="419">
          <cell r="C419" t="str">
            <v>yang dibayar dari kontrak) dan biaya-biaya lainnya.</v>
          </cell>
        </row>
        <row r="538">
          <cell r="I538" t="str">
            <v>Analisa EI-814</v>
          </cell>
        </row>
        <row r="540">
          <cell r="A540" t="str">
            <v>FORMULIR STANDAR UNTUK</v>
          </cell>
        </row>
        <row r="541">
          <cell r="A541" t="str">
            <v>PEREKAMAN ANALISA MASING-MASING HARGA SATUAN</v>
          </cell>
        </row>
        <row r="542">
          <cell r="A542">
            <v>0</v>
          </cell>
        </row>
        <row r="544">
          <cell r="A544" t="str">
            <v>Kegiatan</v>
          </cell>
          <cell r="D544" t="str">
            <v>: Pembangunan Jalan Dinas Bina Marga dan Cipta Karya Prov. NAD</v>
          </cell>
        </row>
        <row r="545">
          <cell r="A545" t="str">
            <v>Nama Paket</v>
          </cell>
          <cell r="D545" t="str">
            <v>: …………………………………………..</v>
          </cell>
        </row>
        <row r="546">
          <cell r="A546" t="str">
            <v>Nomor Paket</v>
          </cell>
          <cell r="D546" t="str">
            <v>: ……………………………………………</v>
          </cell>
        </row>
        <row r="547">
          <cell r="A547" t="str">
            <v>Tahun Anggaran</v>
          </cell>
          <cell r="D547" t="str">
            <v>: 2009</v>
          </cell>
        </row>
        <row r="548">
          <cell r="A548" t="str">
            <v>Prop / Kab / Kodya</v>
          </cell>
          <cell r="D548" t="str">
            <v>: .......................................</v>
          </cell>
        </row>
        <row r="549">
          <cell r="A549" t="str">
            <v>ITEM PEMBAYARAN NO.</v>
          </cell>
          <cell r="D549" t="str">
            <v>:  8.1 (4)</v>
          </cell>
          <cell r="G549" t="str">
            <v>PERKIRAAN VOL. PEK.</v>
          </cell>
          <cell r="I549" t="str">
            <v>:</v>
          </cell>
        </row>
        <row r="550">
          <cell r="A550" t="str">
            <v>JENIS PEKERJAAN</v>
          </cell>
          <cell r="D550" t="str">
            <v>:  Waterbound Macadam Utk. Pek. -</v>
          </cell>
          <cell r="G550" t="str">
            <v>TOTAL HARGA (Rp.)</v>
          </cell>
          <cell r="I550" t="str">
            <v>:</v>
          </cell>
        </row>
        <row r="551">
          <cell r="A551" t="str">
            <v>SATUAN PEMBAYARAN</v>
          </cell>
          <cell r="D551" t="str">
            <v>:  M3</v>
          </cell>
          <cell r="E551" t="str">
            <v xml:space="preserve">                             Minor</v>
          </cell>
          <cell r="F551" t="str">
            <v>Minor</v>
          </cell>
          <cell r="G551" t="str">
            <v>% THD. BIAYA PROYEK</v>
          </cell>
          <cell r="I551" t="str">
            <v>:</v>
          </cell>
        </row>
        <row r="554">
          <cell r="F554" t="str">
            <v>PERKIRAAN</v>
          </cell>
          <cell r="G554" t="str">
            <v>HARGA</v>
          </cell>
          <cell r="H554" t="str">
            <v>JUMLAH</v>
          </cell>
        </row>
        <row r="555">
          <cell r="A555" t="str">
            <v>NO.</v>
          </cell>
          <cell r="C555" t="str">
            <v>KOMPONEN</v>
          </cell>
          <cell r="E555" t="str">
            <v>SATUAN</v>
          </cell>
          <cell r="F555" t="str">
            <v>KUANTITAS</v>
          </cell>
          <cell r="G555" t="str">
            <v>SATUAN</v>
          </cell>
          <cell r="H555" t="str">
            <v>HARGA</v>
          </cell>
        </row>
        <row r="556">
          <cell r="G556" t="str">
            <v>(Rp.)</v>
          </cell>
          <cell r="H556" t="str">
            <v>(Rp.)</v>
          </cell>
        </row>
        <row r="559">
          <cell r="A559" t="str">
            <v>A.</v>
          </cell>
          <cell r="C559" t="str">
            <v>TENAGA</v>
          </cell>
        </row>
        <row r="561">
          <cell r="A561" t="str">
            <v>1.</v>
          </cell>
          <cell r="C561" t="str">
            <v>Pekerja Biasa</v>
          </cell>
          <cell r="D561" t="str">
            <v>(L01)</v>
          </cell>
          <cell r="E561" t="str">
            <v>Jam</v>
          </cell>
        </row>
        <row r="562">
          <cell r="A562" t="str">
            <v>2.</v>
          </cell>
          <cell r="C562" t="str">
            <v>Mandor</v>
          </cell>
          <cell r="D562" t="str">
            <v>(L03)</v>
          </cell>
          <cell r="E562" t="str">
            <v>Jam</v>
          </cell>
        </row>
        <row r="565">
          <cell r="F565" t="str">
            <v xml:space="preserve">JUMLAH HARGA TENAGA   </v>
          </cell>
        </row>
        <row r="567">
          <cell r="A567" t="str">
            <v>B.</v>
          </cell>
          <cell r="C567" t="str">
            <v>BAHAN</v>
          </cell>
        </row>
        <row r="569">
          <cell r="A569" t="str">
            <v>1.</v>
          </cell>
          <cell r="C569" t="str">
            <v>Agregat Kasar    (M03)</v>
          </cell>
          <cell r="D569" t="str">
            <v>(M03)</v>
          </cell>
          <cell r="E569" t="str">
            <v>M3</v>
          </cell>
          <cell r="F569">
            <v>0.93500000000000005</v>
          </cell>
        </row>
        <row r="570">
          <cell r="A570" t="str">
            <v>2.</v>
          </cell>
          <cell r="C570" t="str">
            <v>Agregat Halus    (M04)</v>
          </cell>
          <cell r="D570" t="str">
            <v>(M04)</v>
          </cell>
          <cell r="E570" t="str">
            <v>M3</v>
          </cell>
          <cell r="F570">
            <v>0.16500000000000001</v>
          </cell>
        </row>
        <row r="575">
          <cell r="F575" t="str">
            <v xml:space="preserve">JUMLAH HARGA BAHAN   </v>
          </cell>
        </row>
        <row r="577">
          <cell r="A577" t="str">
            <v>C.</v>
          </cell>
          <cell r="C577" t="str">
            <v>PERALATAN</v>
          </cell>
        </row>
        <row r="579">
          <cell r="A579" t="str">
            <v>1.</v>
          </cell>
          <cell r="C579" t="str">
            <v>Wheel Loader</v>
          </cell>
          <cell r="D579" t="str">
            <v>(E15)</v>
          </cell>
          <cell r="E579" t="str">
            <v>Jam</v>
          </cell>
        </row>
        <row r="580">
          <cell r="A580" t="str">
            <v>2.</v>
          </cell>
          <cell r="C580" t="str">
            <v>Dump Truck</v>
          </cell>
          <cell r="D580" t="str">
            <v>(E09)</v>
          </cell>
          <cell r="E580" t="str">
            <v>Jam</v>
          </cell>
        </row>
        <row r="581">
          <cell r="A581" t="str">
            <v>3.</v>
          </cell>
          <cell r="C581" t="str">
            <v>3-Wheel Roller     (E16)</v>
          </cell>
          <cell r="E581" t="str">
            <v>Jam</v>
          </cell>
        </row>
        <row r="582">
          <cell r="A582" t="str">
            <v>4.</v>
          </cell>
          <cell r="C582" t="str">
            <v>Alat BAntu</v>
          </cell>
          <cell r="E582" t="str">
            <v>Ls</v>
          </cell>
        </row>
        <row r="587">
          <cell r="F587" t="str">
            <v xml:space="preserve">JUMLAH HARGA PERALATAN   </v>
          </cell>
        </row>
        <row r="589">
          <cell r="A589" t="str">
            <v>D.</v>
          </cell>
          <cell r="C589" t="str">
            <v>JUMLAH HARGA TENAGA, BAHAN DAN PERALATAN  ( A + B + C )</v>
          </cell>
        </row>
        <row r="590">
          <cell r="A590" t="str">
            <v>E.</v>
          </cell>
          <cell r="C590" t="str">
            <v>OVERHEAD &amp; PROFIT</v>
          </cell>
          <cell r="E590">
            <v>10</v>
          </cell>
          <cell r="F590" t="str">
            <v>%  x  D</v>
          </cell>
        </row>
        <row r="591">
          <cell r="A591" t="str">
            <v>F.</v>
          </cell>
          <cell r="C591" t="str">
            <v>HARGA SATUAN PEKERJAAN  ( D + E ) DIBULATKAN</v>
          </cell>
        </row>
        <row r="592">
          <cell r="A592" t="str">
            <v>Note: 1</v>
          </cell>
          <cell r="C592" t="str">
            <v>SATUAN dapat berdasarkan atas jam operasi untuk Tenaga Kerja dan Peralatan, volume dan/atau ukuran</v>
          </cell>
        </row>
        <row r="593">
          <cell r="C593" t="str">
            <v>berat untuk bahan-bahan.</v>
          </cell>
        </row>
        <row r="594">
          <cell r="A594">
            <v>2</v>
          </cell>
          <cell r="C594" t="str">
            <v>Kuantitas satuan adalah kuantitas setiap komponen untuk menyelesaikan satu satuan pekerjaan dari nomor</v>
          </cell>
        </row>
        <row r="595">
          <cell r="C595" t="str">
            <v>mata pembayaran.</v>
          </cell>
        </row>
        <row r="596">
          <cell r="A596">
            <v>3</v>
          </cell>
          <cell r="C596" t="str">
            <v>Biaya satuan untuk peralatan sudah termasuk bahan bakar, bahan habis dipakai dan operator.</v>
          </cell>
        </row>
        <row r="597">
          <cell r="A597">
            <v>4</v>
          </cell>
          <cell r="C597" t="str">
            <v>Biaya satuan sudah termasuk pengeluaran untuk seluruh pajak yang berkaitan (tetapi tidak termasuk PPN</v>
          </cell>
        </row>
        <row r="598">
          <cell r="C598" t="str">
            <v>yang dibayar dari kontrak) dan biaya-biaya lainnya.</v>
          </cell>
        </row>
        <row r="717">
          <cell r="I717" t="str">
            <v>Analisa EI-815</v>
          </cell>
        </row>
        <row r="719">
          <cell r="A719" t="str">
            <v>FORMULIR STANDAR UNTUK</v>
          </cell>
        </row>
        <row r="720">
          <cell r="A720" t="str">
            <v>PEREKAMAN ANALISA MASING-MASING HARGA SATUAN</v>
          </cell>
        </row>
        <row r="721">
          <cell r="A721">
            <v>0</v>
          </cell>
        </row>
        <row r="723">
          <cell r="A723" t="str">
            <v>Kegiatan</v>
          </cell>
          <cell r="D723" t="str">
            <v>: Pembangunan Jalan Dinas Bina Marga dan Cipta Karya Prov. NAD</v>
          </cell>
        </row>
        <row r="724">
          <cell r="A724" t="str">
            <v>Nama Paket</v>
          </cell>
          <cell r="D724" t="str">
            <v>: …………………………………………..</v>
          </cell>
        </row>
        <row r="725">
          <cell r="A725" t="str">
            <v>Nomor Paket</v>
          </cell>
          <cell r="D725" t="str">
            <v>: ……………………………………………</v>
          </cell>
        </row>
        <row r="726">
          <cell r="A726" t="str">
            <v>Tahun Anggaran</v>
          </cell>
          <cell r="D726" t="str">
            <v>: 2009</v>
          </cell>
        </row>
        <row r="727">
          <cell r="A727" t="str">
            <v>Prop / Kab / Kodya</v>
          </cell>
          <cell r="D727" t="str">
            <v>: .......................................</v>
          </cell>
        </row>
        <row r="728">
          <cell r="A728" t="str">
            <v>ITEM PEMBAYARAN NO.</v>
          </cell>
          <cell r="D728" t="str">
            <v>:  8.1 (5)</v>
          </cell>
          <cell r="G728" t="str">
            <v>PERKIRAAN VOL. PEK.</v>
          </cell>
          <cell r="I728" t="str">
            <v>:</v>
          </cell>
        </row>
        <row r="729">
          <cell r="A729" t="str">
            <v>JENIS PEKERJAAN</v>
          </cell>
          <cell r="D729" t="str">
            <v>:  Camp. Aspal Panas Utk.Pek.Minor</v>
          </cell>
          <cell r="G729" t="str">
            <v>TOTAL HARGA (Rp.)</v>
          </cell>
          <cell r="I729" t="str">
            <v>:</v>
          </cell>
        </row>
        <row r="730">
          <cell r="A730" t="str">
            <v>SATUAN PEMBAYARAN</v>
          </cell>
          <cell r="D730" t="str">
            <v>:  M3</v>
          </cell>
          <cell r="G730" t="str">
            <v>% THD. BIAYA PROYEK</v>
          </cell>
          <cell r="I730" t="str">
            <v>:</v>
          </cell>
        </row>
        <row r="733">
          <cell r="F733" t="str">
            <v>PERKIRAAN</v>
          </cell>
          <cell r="G733" t="str">
            <v>HARGA</v>
          </cell>
          <cell r="H733" t="str">
            <v>JUMLAH</v>
          </cell>
        </row>
        <row r="734">
          <cell r="A734" t="str">
            <v>NO.</v>
          </cell>
          <cell r="C734" t="str">
            <v>KOMPONEN</v>
          </cell>
          <cell r="E734" t="str">
            <v>SATUAN</v>
          </cell>
          <cell r="F734" t="str">
            <v>KUANTITAS</v>
          </cell>
          <cell r="G734" t="str">
            <v>SATUAN</v>
          </cell>
          <cell r="H734" t="str">
            <v>HARGA</v>
          </cell>
        </row>
        <row r="735">
          <cell r="G735" t="str">
            <v>(Rp.)</v>
          </cell>
          <cell r="H735" t="str">
            <v>(Rp.)</v>
          </cell>
        </row>
        <row r="738">
          <cell r="A738" t="str">
            <v>A.</v>
          </cell>
          <cell r="C738" t="str">
            <v>TENAGA</v>
          </cell>
        </row>
        <row r="740">
          <cell r="A740" t="str">
            <v>1.</v>
          </cell>
          <cell r="C740" t="str">
            <v>Pekerja Biasa</v>
          </cell>
          <cell r="D740" t="str">
            <v>(L01)</v>
          </cell>
          <cell r="E740" t="str">
            <v>Jam</v>
          </cell>
        </row>
        <row r="741">
          <cell r="A741" t="str">
            <v>2.</v>
          </cell>
          <cell r="C741" t="str">
            <v>Mandor</v>
          </cell>
          <cell r="D741" t="str">
            <v>(L03)</v>
          </cell>
          <cell r="E741" t="str">
            <v>Jam</v>
          </cell>
        </row>
        <row r="744">
          <cell r="F744" t="str">
            <v xml:space="preserve">JUMLAH HARGA TENAGA   </v>
          </cell>
        </row>
        <row r="746">
          <cell r="A746" t="str">
            <v>B.</v>
          </cell>
          <cell r="C746" t="str">
            <v>BAHAN</v>
          </cell>
        </row>
        <row r="748">
          <cell r="A748" t="str">
            <v>1.</v>
          </cell>
          <cell r="C748" t="str">
            <v>Agregat Kasar</v>
          </cell>
          <cell r="D748" t="str">
            <v>(M03)</v>
          </cell>
          <cell r="E748" t="str">
            <v>M3</v>
          </cell>
          <cell r="F748">
            <v>0.85813750000000011</v>
          </cell>
        </row>
        <row r="749">
          <cell r="A749" t="str">
            <v>2.</v>
          </cell>
          <cell r="C749" t="str">
            <v>Agregat Halus</v>
          </cell>
          <cell r="D749" t="str">
            <v>(M04)</v>
          </cell>
          <cell r="E749" t="str">
            <v>M3</v>
          </cell>
          <cell r="F749">
            <v>0.34375</v>
          </cell>
        </row>
        <row r="750">
          <cell r="A750" t="str">
            <v>3</v>
          </cell>
          <cell r="C750" t="str">
            <v>Filler</v>
          </cell>
          <cell r="D750" t="str">
            <v>(M05)</v>
          </cell>
          <cell r="E750" t="str">
            <v>Kg</v>
          </cell>
          <cell r="F750">
            <v>163.10249999999999</v>
          </cell>
        </row>
        <row r="751">
          <cell r="A751" t="str">
            <v>4</v>
          </cell>
          <cell r="C751" t="str">
            <v>Aspal</v>
          </cell>
          <cell r="D751" t="str">
            <v>(M10)</v>
          </cell>
          <cell r="E751" t="str">
            <v>Kg</v>
          </cell>
          <cell r="F751">
            <v>141.75</v>
          </cell>
        </row>
        <row r="754">
          <cell r="F754" t="str">
            <v xml:space="preserve">JUMLAH HARGA BAHAN   </v>
          </cell>
        </row>
        <row r="756">
          <cell r="A756" t="str">
            <v>C.</v>
          </cell>
          <cell r="C756" t="str">
            <v>PERALATAN</v>
          </cell>
        </row>
        <row r="757">
          <cell r="A757" t="str">
            <v>1.</v>
          </cell>
          <cell r="C757" t="str">
            <v>Wheel Loader</v>
          </cell>
          <cell r="D757" t="str">
            <v>(E15)</v>
          </cell>
          <cell r="E757" t="str">
            <v>Jam</v>
          </cell>
        </row>
        <row r="758">
          <cell r="A758" t="str">
            <v>2.</v>
          </cell>
          <cell r="C758" t="str">
            <v>AMP</v>
          </cell>
          <cell r="D758" t="str">
            <v>(E01)</v>
          </cell>
          <cell r="E758" t="str">
            <v>Jam</v>
          </cell>
        </row>
        <row r="759">
          <cell r="A759" t="str">
            <v>3.</v>
          </cell>
          <cell r="C759" t="str">
            <v>Genset</v>
          </cell>
          <cell r="D759" t="str">
            <v>(E12)</v>
          </cell>
          <cell r="E759" t="str">
            <v>Jam</v>
          </cell>
        </row>
        <row r="760">
          <cell r="A760" t="str">
            <v>4.</v>
          </cell>
          <cell r="C760" t="str">
            <v>Dump Truck</v>
          </cell>
          <cell r="D760" t="str">
            <v>(E09)</v>
          </cell>
          <cell r="E760" t="str">
            <v>Jam</v>
          </cell>
        </row>
        <row r="761">
          <cell r="A761" t="str">
            <v>5.</v>
          </cell>
          <cell r="C761" t="str">
            <v>Asp. Finisher</v>
          </cell>
          <cell r="D761" t="str">
            <v>(E02)</v>
          </cell>
          <cell r="E761" t="str">
            <v>Jam</v>
          </cell>
        </row>
        <row r="762">
          <cell r="A762" t="str">
            <v>6.</v>
          </cell>
          <cell r="C762" t="str">
            <v>Tandem Roller</v>
          </cell>
          <cell r="D762" t="str">
            <v>(E17)</v>
          </cell>
          <cell r="E762" t="str">
            <v>Jam</v>
          </cell>
        </row>
        <row r="763">
          <cell r="A763" t="str">
            <v>7</v>
          </cell>
          <cell r="C763" t="str">
            <v>P. Tyre Roller</v>
          </cell>
          <cell r="D763" t="str">
            <v>(E18)</v>
          </cell>
          <cell r="E763" t="str">
            <v>Jam</v>
          </cell>
        </row>
        <row r="764">
          <cell r="A764" t="str">
            <v>8</v>
          </cell>
          <cell r="C764" t="str">
            <v>Alat Bantu</v>
          </cell>
          <cell r="E764" t="str">
            <v>Ls</v>
          </cell>
        </row>
        <row r="766">
          <cell r="F766" t="str">
            <v xml:space="preserve">JUMLAH HARGA PERALATAN   </v>
          </cell>
        </row>
        <row r="768">
          <cell r="A768" t="str">
            <v>D.</v>
          </cell>
          <cell r="C768" t="str">
            <v>JUMLAH HARGA TENAGA, BAHAN DAN PERALATAN  ( A + B + C )</v>
          </cell>
        </row>
        <row r="769">
          <cell r="A769" t="str">
            <v>E.</v>
          </cell>
          <cell r="C769" t="str">
            <v>OVERHEAD &amp; PROFIT</v>
          </cell>
          <cell r="E769">
            <v>10</v>
          </cell>
          <cell r="F769" t="str">
            <v>%  x  D</v>
          </cell>
        </row>
        <row r="770">
          <cell r="A770" t="str">
            <v>F.</v>
          </cell>
          <cell r="C770" t="str">
            <v>HARGA SATUAN PEKERJAAN  ( D + E ) DIBULATKAN</v>
          </cell>
        </row>
        <row r="771">
          <cell r="A771" t="str">
            <v>Note: 1</v>
          </cell>
          <cell r="C771" t="str">
            <v>SATUAN dapat berdasarkan atas jam operasi untuk Tenaga Kerja dan Peralatan, volume dan/atau ukuran</v>
          </cell>
        </row>
        <row r="772">
          <cell r="C772" t="str">
            <v>berat untuk bahan-bahan.</v>
          </cell>
        </row>
        <row r="773">
          <cell r="A773">
            <v>2</v>
          </cell>
          <cell r="C773" t="str">
            <v>Kuantitas satuan adalah kuantitas setiap komponen untuk menyelesaikan satu satuan pekerjaan dari nomor</v>
          </cell>
        </row>
        <row r="774">
          <cell r="C774" t="str">
            <v>mata pembayaran.</v>
          </cell>
        </row>
        <row r="775">
          <cell r="A775">
            <v>3</v>
          </cell>
          <cell r="C775" t="str">
            <v>Biaya satuan untuk peralatan sudah termasuk bahan bakar, bahan habis dipakai dan operator.</v>
          </cell>
        </row>
        <row r="776">
          <cell r="A776">
            <v>4</v>
          </cell>
          <cell r="C776" t="str">
            <v>Biaya satuan sudah termasuk pengeluaran untuk seluruh pajak yang berkaitan (tetapi tidak termasuk PPN</v>
          </cell>
        </row>
        <row r="777">
          <cell r="C777" t="str">
            <v>yang dibayar dari kontrak) dan biaya-biaya lainnya.</v>
          </cell>
        </row>
        <row r="896">
          <cell r="I896" t="str">
            <v>Analisa EI-817</v>
          </cell>
        </row>
        <row r="898">
          <cell r="A898" t="str">
            <v>FORMULIR STANDAR UNTUK</v>
          </cell>
        </row>
        <row r="899">
          <cell r="A899" t="str">
            <v>PEREKAMAN ANALISA MASING-MASING HARGA SATUAN</v>
          </cell>
        </row>
        <row r="900">
          <cell r="A900">
            <v>0</v>
          </cell>
        </row>
        <row r="902">
          <cell r="A902" t="str">
            <v>Kegiatan</v>
          </cell>
          <cell r="D902" t="str">
            <v>: Pembangunan Jalan Dinas Bina Marga dan Cipta Karya Prov. NAD</v>
          </cell>
        </row>
        <row r="903">
          <cell r="A903" t="str">
            <v>Nama Paket</v>
          </cell>
          <cell r="D903" t="str">
            <v>: …………………………………………..</v>
          </cell>
        </row>
        <row r="904">
          <cell r="A904" t="str">
            <v>Nomor Paket</v>
          </cell>
          <cell r="D904" t="str">
            <v>: ……………………………………………</v>
          </cell>
        </row>
        <row r="905">
          <cell r="A905" t="str">
            <v>Tahun Anggaran</v>
          </cell>
          <cell r="D905" t="str">
            <v>: 2009</v>
          </cell>
        </row>
        <row r="906">
          <cell r="A906" t="str">
            <v>Prop / Kab / Kodya</v>
          </cell>
          <cell r="D906" t="str">
            <v>: .......................................</v>
          </cell>
        </row>
        <row r="907">
          <cell r="A907" t="str">
            <v>ITEM PEMBAYARAN NO.</v>
          </cell>
          <cell r="D907" t="str">
            <v>:  8.1 (7)</v>
          </cell>
          <cell r="G907" t="str">
            <v>PERKIRAAN VOL. PEK.</v>
          </cell>
          <cell r="I907" t="str">
            <v>:</v>
          </cell>
        </row>
        <row r="908">
          <cell r="A908" t="str">
            <v>JENIS PEKERJAAN</v>
          </cell>
          <cell r="D908" t="str">
            <v>:  Penetrasi Macadam Utk.Pek.Minor</v>
          </cell>
          <cell r="G908" t="str">
            <v>TOTAL HARGA</v>
          </cell>
          <cell r="I908" t="str">
            <v>:</v>
          </cell>
        </row>
        <row r="909">
          <cell r="A909" t="str">
            <v>SATUAN PEMBAYARAN</v>
          </cell>
          <cell r="D909" t="str">
            <v>:  M3</v>
          </cell>
          <cell r="F909" t="str">
            <v>(Perata)</v>
          </cell>
          <cell r="G909" t="str">
            <v>% THD. BIAYA PROYEK</v>
          </cell>
          <cell r="I909" t="str">
            <v>:</v>
          </cell>
        </row>
        <row r="912">
          <cell r="F912" t="str">
            <v>PERKIRAAN</v>
          </cell>
          <cell r="G912" t="str">
            <v>HARGA</v>
          </cell>
          <cell r="H912" t="str">
            <v>JUMLAH</v>
          </cell>
        </row>
        <row r="913">
          <cell r="A913" t="str">
            <v>NO.</v>
          </cell>
          <cell r="C913" t="str">
            <v>KOMPONEN</v>
          </cell>
          <cell r="E913" t="str">
            <v>SATUAN</v>
          </cell>
          <cell r="F913" t="str">
            <v>KUANTITAS</v>
          </cell>
          <cell r="G913" t="str">
            <v>SATUAN</v>
          </cell>
          <cell r="H913" t="str">
            <v>HARGA</v>
          </cell>
        </row>
        <row r="914">
          <cell r="G914" t="str">
            <v>(Rp.)</v>
          </cell>
          <cell r="H914" t="str">
            <v>(Rp.)</v>
          </cell>
        </row>
        <row r="917">
          <cell r="A917" t="str">
            <v>A.</v>
          </cell>
          <cell r="C917" t="str">
            <v>TENAGA</v>
          </cell>
        </row>
        <row r="919">
          <cell r="A919" t="str">
            <v>1.</v>
          </cell>
          <cell r="C919" t="str">
            <v>Pekerja Biasa</v>
          </cell>
          <cell r="D919" t="str">
            <v>(L01)</v>
          </cell>
          <cell r="E919" t="str">
            <v>Jam</v>
          </cell>
        </row>
        <row r="920">
          <cell r="A920" t="str">
            <v>2.</v>
          </cell>
          <cell r="C920" t="str">
            <v>Mandor</v>
          </cell>
          <cell r="D920" t="str">
            <v>(L03)</v>
          </cell>
          <cell r="E920" t="str">
            <v>Jam</v>
          </cell>
        </row>
        <row r="923">
          <cell r="F923" t="str">
            <v xml:space="preserve">JUMLAH HARGA TENAGA   </v>
          </cell>
        </row>
        <row r="925">
          <cell r="A925" t="str">
            <v>B.</v>
          </cell>
          <cell r="C925" t="str">
            <v>BAHAN</v>
          </cell>
        </row>
        <row r="927">
          <cell r="A927" t="str">
            <v>1.</v>
          </cell>
          <cell r="C927" t="str">
            <v>Agregat Kasar</v>
          </cell>
          <cell r="D927" t="str">
            <v>(M03)</v>
          </cell>
          <cell r="E927" t="str">
            <v>M3</v>
          </cell>
          <cell r="F927">
            <v>1.755555555555556</v>
          </cell>
        </row>
        <row r="928">
          <cell r="A928" t="str">
            <v>2.</v>
          </cell>
          <cell r="C928" t="str">
            <v>Agregat Halus</v>
          </cell>
          <cell r="D928" t="str">
            <v>(M04)</v>
          </cell>
          <cell r="E928" t="str">
            <v>M3</v>
          </cell>
          <cell r="F928">
            <v>0</v>
          </cell>
        </row>
        <row r="929">
          <cell r="A929" t="str">
            <v>3</v>
          </cell>
          <cell r="C929" t="str">
            <v>Aspal</v>
          </cell>
          <cell r="D929" t="str">
            <v>(M10)</v>
          </cell>
          <cell r="E929" t="str">
            <v>Kg</v>
          </cell>
          <cell r="F929">
            <v>99.27272727272728</v>
          </cell>
        </row>
        <row r="933">
          <cell r="F933" t="str">
            <v xml:space="preserve">JUMLAH HARGA BAHAN   </v>
          </cell>
        </row>
        <row r="935">
          <cell r="A935" t="str">
            <v>C.</v>
          </cell>
          <cell r="C935" t="str">
            <v>PERALATAN</v>
          </cell>
        </row>
        <row r="937">
          <cell r="A937" t="str">
            <v>1.</v>
          </cell>
          <cell r="C937" t="str">
            <v>Wheel Loader</v>
          </cell>
          <cell r="D937" t="str">
            <v>(E15)</v>
          </cell>
          <cell r="E937" t="str">
            <v>Jam</v>
          </cell>
        </row>
        <row r="938">
          <cell r="A938" t="str">
            <v>2.</v>
          </cell>
          <cell r="C938" t="str">
            <v>Dump Truck</v>
          </cell>
          <cell r="D938" t="str">
            <v>(E09)</v>
          </cell>
          <cell r="E938" t="str">
            <v>Jam</v>
          </cell>
        </row>
        <row r="939">
          <cell r="A939" t="str">
            <v>3.</v>
          </cell>
          <cell r="C939" t="str">
            <v>3-Wheel Roller     (E16)</v>
          </cell>
          <cell r="E939" t="str">
            <v>Jam</v>
          </cell>
        </row>
        <row r="940">
          <cell r="A940" t="str">
            <v>4.</v>
          </cell>
          <cell r="C940" t="str">
            <v>Asp. Sprayer</v>
          </cell>
          <cell r="D940" t="str">
            <v>(E03)</v>
          </cell>
          <cell r="E940" t="str">
            <v>Jam</v>
          </cell>
        </row>
        <row r="941">
          <cell r="A941" t="str">
            <v>5.</v>
          </cell>
          <cell r="C941" t="str">
            <v>Alat bantu</v>
          </cell>
          <cell r="E941" t="str">
            <v>Ls</v>
          </cell>
        </row>
        <row r="945">
          <cell r="F945" t="str">
            <v xml:space="preserve">JUMLAH HARGA PERALATAN   </v>
          </cell>
        </row>
        <row r="947">
          <cell r="A947" t="str">
            <v>D.</v>
          </cell>
          <cell r="C947" t="str">
            <v>JUMLAH HARGA TENAGA, BAHAN DAN PERALATAN  ( A + B + C )</v>
          </cell>
        </row>
        <row r="948">
          <cell r="A948" t="str">
            <v>E.</v>
          </cell>
          <cell r="C948" t="str">
            <v>OVERHEAD &amp; PROFIT</v>
          </cell>
          <cell r="E948">
            <v>10</v>
          </cell>
          <cell r="F948" t="str">
            <v>%  x  D</v>
          </cell>
        </row>
        <row r="949">
          <cell r="A949" t="str">
            <v>F.</v>
          </cell>
          <cell r="C949" t="str">
            <v>HARGA SATUAN PEKERJAAN  ( D + E ) DIBULATKAN</v>
          </cell>
        </row>
        <row r="950">
          <cell r="A950" t="str">
            <v>Note: 1</v>
          </cell>
          <cell r="C950" t="str">
            <v>SATUAN dapat berdasarkan atas jam operasi untuk Tenaga Kerja dan Peralatan, volume dan/atau ukuran</v>
          </cell>
        </row>
        <row r="951">
          <cell r="C951" t="str">
            <v>berat untuk bahan-bahan.</v>
          </cell>
        </row>
        <row r="952">
          <cell r="A952">
            <v>2</v>
          </cell>
          <cell r="C952" t="str">
            <v>Kuantitas satuan adalah kuantitas setiap komponen untuk menyelesaikan satu satuan pekerjaan dari nomor</v>
          </cell>
        </row>
        <row r="953">
          <cell r="C953" t="str">
            <v>mata pembayaran.</v>
          </cell>
        </row>
        <row r="954">
          <cell r="A954">
            <v>3</v>
          </cell>
          <cell r="C954" t="str">
            <v>Biaya satuan untuk peralatan sudah termasuk bahan bakar, bahan habis dipakai dan operator.</v>
          </cell>
        </row>
        <row r="955">
          <cell r="A955">
            <v>4</v>
          </cell>
          <cell r="C955" t="str">
            <v>Biaya satuan sudah termasuk pengeluaran untuk seluruh pajak yang berkaitan (tetapi tidak termasuk PPN</v>
          </cell>
        </row>
        <row r="956">
          <cell r="C956" t="str">
            <v>yang dibayar dari kontrak) dan biaya-biaya lainnya.</v>
          </cell>
        </row>
        <row r="1075">
          <cell r="I1075" t="str">
            <v>Analisa EI-818</v>
          </cell>
        </row>
        <row r="1077">
          <cell r="A1077" t="str">
            <v>FORMULIR STANDAR UNTUK</v>
          </cell>
        </row>
        <row r="1078">
          <cell r="A1078" t="str">
            <v>PEREKAMAN ANALISA MASING-MASING HARGA SATUAN</v>
          </cell>
        </row>
        <row r="1079">
          <cell r="A1079">
            <v>0</v>
          </cell>
        </row>
        <row r="1081">
          <cell r="A1081" t="str">
            <v>Kegiatan</v>
          </cell>
          <cell r="D1081" t="str">
            <v>: Pembangunan Jalan Dinas Bina Marga dan Cipta Karya Prov. NAD</v>
          </cell>
        </row>
        <row r="1082">
          <cell r="A1082" t="str">
            <v>Nama Paket</v>
          </cell>
          <cell r="D1082" t="str">
            <v>: …………………………………………..</v>
          </cell>
        </row>
        <row r="1083">
          <cell r="A1083" t="str">
            <v>Nomor Paket</v>
          </cell>
          <cell r="D1083" t="str">
            <v>: ……………………………………………</v>
          </cell>
        </row>
        <row r="1084">
          <cell r="A1084" t="str">
            <v>Tahun Anggaran</v>
          </cell>
          <cell r="D1084" t="str">
            <v>: 2009</v>
          </cell>
        </row>
        <row r="1085">
          <cell r="A1085" t="str">
            <v>Prop / Kab / Kodya</v>
          </cell>
          <cell r="D1085" t="str">
            <v>: .......................................</v>
          </cell>
        </row>
        <row r="1086">
          <cell r="A1086" t="str">
            <v>ITEM PEMBAYARAN NO.</v>
          </cell>
          <cell r="D1086" t="str">
            <v>:  8.1 (8)</v>
          </cell>
          <cell r="G1086" t="str">
            <v>PERKIRAAN VOL. PEK.</v>
          </cell>
          <cell r="I1086" t="str">
            <v>:</v>
          </cell>
        </row>
        <row r="1087">
          <cell r="A1087" t="str">
            <v>JENIS PEKERJAAN</v>
          </cell>
          <cell r="D1087" t="str">
            <v>:  Camp. Aspal Dingin Utk.Pek.Minor</v>
          </cell>
          <cell r="G1087" t="str">
            <v>TOTAL HARGA</v>
          </cell>
          <cell r="I1087" t="str">
            <v>:</v>
          </cell>
        </row>
        <row r="1088">
          <cell r="A1088" t="str">
            <v>SATUAN PEMBAYARAN</v>
          </cell>
          <cell r="D1088" t="str">
            <v>:  M3</v>
          </cell>
          <cell r="G1088" t="str">
            <v>% THD. BIAYA PROYEK</v>
          </cell>
          <cell r="I1088" t="str">
            <v>:</v>
          </cell>
        </row>
        <row r="1091">
          <cell r="F1091" t="str">
            <v>PERKIRAAN</v>
          </cell>
          <cell r="G1091" t="str">
            <v>HARGA</v>
          </cell>
          <cell r="H1091" t="str">
            <v>JUMLAH</v>
          </cell>
        </row>
        <row r="1092">
          <cell r="A1092" t="str">
            <v>NO.</v>
          </cell>
          <cell r="C1092" t="str">
            <v>KOMPONEN</v>
          </cell>
          <cell r="E1092" t="str">
            <v>SATUAN</v>
          </cell>
          <cell r="F1092" t="str">
            <v>KUANTITAS</v>
          </cell>
          <cell r="G1092" t="str">
            <v>SATUAN</v>
          </cell>
          <cell r="H1092" t="str">
            <v>HARGA</v>
          </cell>
        </row>
        <row r="1093">
          <cell r="G1093" t="str">
            <v>(Rp.)</v>
          </cell>
          <cell r="H1093" t="str">
            <v>(Rp.)</v>
          </cell>
        </row>
        <row r="1096">
          <cell r="A1096" t="str">
            <v>A.</v>
          </cell>
          <cell r="C1096" t="str">
            <v>TENAGA</v>
          </cell>
        </row>
        <row r="1098">
          <cell r="A1098" t="str">
            <v>1.</v>
          </cell>
          <cell r="C1098" t="str">
            <v>Pekerja Biasa</v>
          </cell>
          <cell r="D1098" t="str">
            <v>(L01)</v>
          </cell>
          <cell r="E1098" t="str">
            <v>jam</v>
          </cell>
        </row>
        <row r="1099">
          <cell r="A1099" t="str">
            <v>2.</v>
          </cell>
          <cell r="C1099" t="str">
            <v>Mandor</v>
          </cell>
          <cell r="D1099" t="str">
            <v>(L03)</v>
          </cell>
          <cell r="E1099" t="str">
            <v>jam</v>
          </cell>
        </row>
        <row r="1102">
          <cell r="F1102" t="str">
            <v xml:space="preserve">JUMLAH HARGA TENAGA   </v>
          </cell>
        </row>
        <row r="1104">
          <cell r="A1104" t="str">
            <v>B.</v>
          </cell>
          <cell r="C1104" t="str">
            <v>BAHAN</v>
          </cell>
        </row>
        <row r="1106">
          <cell r="A1106" t="str">
            <v>1.</v>
          </cell>
          <cell r="C1106" t="str">
            <v>Agregat Halus</v>
          </cell>
          <cell r="D1106" t="str">
            <v>(M04)</v>
          </cell>
          <cell r="E1106" t="str">
            <v>M3</v>
          </cell>
          <cell r="F1106">
            <v>1.1683124999999999</v>
          </cell>
        </row>
        <row r="1107">
          <cell r="A1107" t="str">
            <v>2.</v>
          </cell>
          <cell r="C1107" t="str">
            <v>Aspal Emulsi</v>
          </cell>
          <cell r="D1107" t="str">
            <v>(M31)</v>
          </cell>
          <cell r="E1107" t="str">
            <v>Kg</v>
          </cell>
          <cell r="F1107">
            <v>140.69999999999999</v>
          </cell>
        </row>
        <row r="1112">
          <cell r="F1112" t="str">
            <v xml:space="preserve">JUMLAH HARGA BAHAN   </v>
          </cell>
        </row>
        <row r="1114">
          <cell r="A1114" t="str">
            <v>C.</v>
          </cell>
          <cell r="C1114" t="str">
            <v>PERALATAN</v>
          </cell>
        </row>
        <row r="1116">
          <cell r="A1116" t="str">
            <v>1.</v>
          </cell>
          <cell r="C1116" t="str">
            <v>Conc. Mixer</v>
          </cell>
          <cell r="D1116" t="str">
            <v>(E06)</v>
          </cell>
          <cell r="E1116" t="str">
            <v>jam</v>
          </cell>
        </row>
        <row r="1117">
          <cell r="A1117" t="str">
            <v>2.</v>
          </cell>
          <cell r="C1117" t="str">
            <v>Pedestrian Roller   (E24)</v>
          </cell>
          <cell r="E1117" t="str">
            <v>jam</v>
          </cell>
        </row>
        <row r="1118">
          <cell r="A1118" t="str">
            <v>3.</v>
          </cell>
          <cell r="C1118" t="str">
            <v>Dump Truck</v>
          </cell>
          <cell r="D1118" t="str">
            <v>(E09)</v>
          </cell>
          <cell r="E1118" t="str">
            <v>jam</v>
          </cell>
        </row>
        <row r="1119">
          <cell r="A1119" t="str">
            <v>4.</v>
          </cell>
          <cell r="C1119" t="str">
            <v>Alat Bantu</v>
          </cell>
          <cell r="E1119" t="str">
            <v>Ls</v>
          </cell>
        </row>
        <row r="1124">
          <cell r="F1124" t="str">
            <v xml:space="preserve">JUMLAH HARGA PERALATAN   </v>
          </cell>
        </row>
        <row r="1126">
          <cell r="A1126" t="str">
            <v>D.</v>
          </cell>
          <cell r="C1126" t="str">
            <v>JUMLAH HARGA TENAGA, BAHAN DAN PERALATAN  ( A + B + C )</v>
          </cell>
        </row>
        <row r="1127">
          <cell r="A1127" t="str">
            <v>E.</v>
          </cell>
          <cell r="C1127" t="str">
            <v>OVERHEAD &amp; PROFIT</v>
          </cell>
          <cell r="E1127">
            <v>10</v>
          </cell>
          <cell r="F1127" t="str">
            <v>%  x  D</v>
          </cell>
        </row>
        <row r="1128">
          <cell r="A1128" t="str">
            <v>F.</v>
          </cell>
          <cell r="C1128" t="str">
            <v>HARGA SATUAN PEKERJAAN  ( D + E ) DIBULATKAN</v>
          </cell>
        </row>
        <row r="1129">
          <cell r="A1129" t="str">
            <v>Note: 1</v>
          </cell>
          <cell r="C1129" t="str">
            <v>SATUAN dapat berdasarkan atas jam operasi untuk Tenaga Kerja dan Peralatan, volume dan/atau ukuran</v>
          </cell>
        </row>
        <row r="1130">
          <cell r="C1130" t="str">
            <v>berat untuk bahan-bahan.</v>
          </cell>
        </row>
        <row r="1131">
          <cell r="A1131">
            <v>2</v>
          </cell>
          <cell r="C1131" t="str">
            <v>Kuantitas satuan adalah kuantitas setiap komponen untuk menyelesaikan satu satuan pekerjaan dari nomor</v>
          </cell>
        </row>
        <row r="1132">
          <cell r="C1132" t="str">
            <v>mata pembayaran.</v>
          </cell>
        </row>
        <row r="1133">
          <cell r="A1133">
            <v>3</v>
          </cell>
          <cell r="C1133" t="str">
            <v>Biaya satuan untuk peralatan sudah termasuk bahan bakar, bahan habis dipakai dan operator.</v>
          </cell>
        </row>
        <row r="1134">
          <cell r="A1134">
            <v>4</v>
          </cell>
          <cell r="C1134" t="str">
            <v>Biaya satuan sudah termasuk pengeluaran untuk seluruh pajak yang berkaitan (tetapi tidak termasuk PPN</v>
          </cell>
        </row>
        <row r="1135">
          <cell r="C1135" t="str">
            <v>yang dibayar dari kontrak) dan biaya-biaya lainnya.</v>
          </cell>
        </row>
        <row r="1254">
          <cell r="I1254" t="str">
            <v>Analisa EI-819</v>
          </cell>
        </row>
        <row r="1256">
          <cell r="A1256" t="str">
            <v>FORMULIR STANDAR UNTUK</v>
          </cell>
        </row>
        <row r="1257">
          <cell r="A1257" t="str">
            <v>PEREKAMAN ANALISA MASING-MASING HARGA SATUAN</v>
          </cell>
        </row>
        <row r="1258">
          <cell r="A1258">
            <v>0</v>
          </cell>
        </row>
        <row r="1260">
          <cell r="A1260" t="str">
            <v>Kegiatan</v>
          </cell>
          <cell r="D1260" t="str">
            <v>: Pembangunan Jalan Dinas Bina Marga dan Cipta Karya Prov. NAD</v>
          </cell>
        </row>
        <row r="1261">
          <cell r="A1261" t="str">
            <v>Nama Paket</v>
          </cell>
          <cell r="D1261" t="str">
            <v>: …………………………………………..</v>
          </cell>
        </row>
        <row r="1262">
          <cell r="A1262" t="str">
            <v>Nomor Paket</v>
          </cell>
          <cell r="D1262" t="str">
            <v>: ……………………………………………</v>
          </cell>
        </row>
        <row r="1263">
          <cell r="A1263" t="str">
            <v>Tahun Anggaran</v>
          </cell>
          <cell r="D1263" t="str">
            <v>: 2009</v>
          </cell>
        </row>
        <row r="1264">
          <cell r="A1264" t="str">
            <v>Prop / Kab / Kodya</v>
          </cell>
          <cell r="D1264" t="str">
            <v>: .......................................</v>
          </cell>
        </row>
        <row r="1265">
          <cell r="A1265" t="str">
            <v>ITEM PEMBAYARAN NO.</v>
          </cell>
          <cell r="D1265" t="str">
            <v>:  8.1 (9)</v>
          </cell>
          <cell r="G1265" t="str">
            <v>PERKIRAAN VOL. PEK.</v>
          </cell>
          <cell r="I1265" t="str">
            <v>:</v>
          </cell>
        </row>
        <row r="1266">
          <cell r="A1266" t="str">
            <v>JENIS PEKERJAAN</v>
          </cell>
          <cell r="D1266" t="str">
            <v>:  Residu Bitumen Untuk Pek.Minor</v>
          </cell>
          <cell r="G1266" t="str">
            <v>TOTAL HARGA</v>
          </cell>
          <cell r="I1266" t="str">
            <v>:</v>
          </cell>
        </row>
        <row r="1267">
          <cell r="A1267" t="str">
            <v>SATUAN PEMBAYARAN</v>
          </cell>
          <cell r="D1267" t="str">
            <v>:  LITER</v>
          </cell>
          <cell r="G1267" t="str">
            <v>% THD. BIAYA PROYEK</v>
          </cell>
          <cell r="I1267" t="str">
            <v>:</v>
          </cell>
        </row>
        <row r="1270">
          <cell r="F1270" t="str">
            <v>PERKIRAAN</v>
          </cell>
          <cell r="G1270" t="str">
            <v>HARGA</v>
          </cell>
          <cell r="H1270" t="str">
            <v>JUMLAH</v>
          </cell>
        </row>
        <row r="1271">
          <cell r="A1271" t="str">
            <v>NO.</v>
          </cell>
          <cell r="C1271" t="str">
            <v>KOMPONEN</v>
          </cell>
          <cell r="E1271" t="str">
            <v>SATUAN</v>
          </cell>
          <cell r="F1271" t="str">
            <v>KUANTITAS</v>
          </cell>
          <cell r="G1271" t="str">
            <v>SATUAN</v>
          </cell>
          <cell r="H1271" t="str">
            <v>HARGA</v>
          </cell>
        </row>
        <row r="1272">
          <cell r="G1272" t="str">
            <v>(Rp.)</v>
          </cell>
          <cell r="H1272" t="str">
            <v>(Rp.)</v>
          </cell>
        </row>
        <row r="1275">
          <cell r="A1275" t="str">
            <v>A.</v>
          </cell>
          <cell r="C1275" t="str">
            <v>TENAGA</v>
          </cell>
        </row>
        <row r="1277">
          <cell r="A1277" t="str">
            <v>1.</v>
          </cell>
          <cell r="C1277" t="str">
            <v>Pekerja Biasa</v>
          </cell>
          <cell r="D1277" t="str">
            <v>(L01)</v>
          </cell>
          <cell r="E1277" t="str">
            <v>Jam</v>
          </cell>
        </row>
        <row r="1278">
          <cell r="A1278" t="str">
            <v>2.</v>
          </cell>
          <cell r="C1278" t="str">
            <v>Mandor</v>
          </cell>
          <cell r="D1278" t="str">
            <v>(L03)</v>
          </cell>
          <cell r="E1278" t="str">
            <v>Jam</v>
          </cell>
        </row>
        <row r="1281">
          <cell r="F1281" t="str">
            <v xml:space="preserve">JUMLAH HARGA TENAGA   </v>
          </cell>
        </row>
        <row r="1283">
          <cell r="A1283" t="str">
            <v>B.</v>
          </cell>
          <cell r="C1283" t="str">
            <v>BAHAN</v>
          </cell>
        </row>
        <row r="1284">
          <cell r="F1284">
            <v>0</v>
          </cell>
        </row>
        <row r="1285">
          <cell r="A1285" t="str">
            <v>1.</v>
          </cell>
          <cell r="C1285" t="str">
            <v>Aspal</v>
          </cell>
          <cell r="D1285" t="str">
            <v>(M10)</v>
          </cell>
          <cell r="E1285" t="str">
            <v>Kg</v>
          </cell>
          <cell r="F1285">
            <v>0.64680000000000004</v>
          </cell>
        </row>
        <row r="1286">
          <cell r="A1286" t="str">
            <v>2.</v>
          </cell>
          <cell r="C1286" t="str">
            <v>Kerosene</v>
          </cell>
          <cell r="D1286" t="str">
            <v>(M11)</v>
          </cell>
          <cell r="E1286" t="str">
            <v>Liter</v>
          </cell>
          <cell r="F1286">
            <v>0.48400000000000004</v>
          </cell>
        </row>
        <row r="1291">
          <cell r="F1291" t="str">
            <v xml:space="preserve">JUMLAH HARGA BAHAN   </v>
          </cell>
        </row>
        <row r="1293">
          <cell r="A1293" t="str">
            <v>C.</v>
          </cell>
          <cell r="C1293" t="str">
            <v>PERALATAN</v>
          </cell>
        </row>
        <row r="1295">
          <cell r="A1295" t="str">
            <v>1.</v>
          </cell>
          <cell r="C1295" t="str">
            <v>Asphalt Sprayer     (E03)</v>
          </cell>
          <cell r="E1295" t="str">
            <v>Jam</v>
          </cell>
        </row>
        <row r="1296">
          <cell r="A1296" t="str">
            <v>2.</v>
          </cell>
          <cell r="C1296" t="str">
            <v>Compresor</v>
          </cell>
          <cell r="D1296" t="str">
            <v>(E05)</v>
          </cell>
          <cell r="E1296" t="str">
            <v>Jam</v>
          </cell>
        </row>
        <row r="1297">
          <cell r="A1297" t="str">
            <v>3.</v>
          </cell>
          <cell r="C1297" t="str">
            <v>Dump Truck</v>
          </cell>
          <cell r="D1297" t="str">
            <v>(E08)</v>
          </cell>
          <cell r="E1297" t="str">
            <v>Jam</v>
          </cell>
        </row>
        <row r="1303">
          <cell r="F1303" t="str">
            <v xml:space="preserve">JUMLAH HARGA PERALATAN   </v>
          </cell>
        </row>
        <row r="1305">
          <cell r="A1305" t="str">
            <v>D.</v>
          </cell>
          <cell r="C1305" t="str">
            <v>JUMLAH HARGA TENAGA, BAHAN DAN PERALATAN  ( A + B + C )</v>
          </cell>
        </row>
        <row r="1306">
          <cell r="A1306" t="str">
            <v>E.</v>
          </cell>
          <cell r="C1306" t="str">
            <v>OVERHEAD &amp; PROFIT</v>
          </cell>
          <cell r="E1306">
            <v>10</v>
          </cell>
          <cell r="F1306" t="str">
            <v>%  x  D</v>
          </cell>
        </row>
        <row r="1307">
          <cell r="A1307" t="str">
            <v>F.</v>
          </cell>
          <cell r="C1307" t="str">
            <v>HARGA SATUAN PEKERJAAN  ( D + E ) DIBULATKAN</v>
          </cell>
        </row>
        <row r="1308">
          <cell r="A1308" t="str">
            <v>Note: 1</v>
          </cell>
          <cell r="C1308" t="str">
            <v>SATUAN dapat berdasarkan atas jam operasi untuk Tenaga Kerja dan Peralatan, volume dan/atau ukuran</v>
          </cell>
        </row>
        <row r="1309">
          <cell r="C1309" t="str">
            <v>berat untuk bahan-bahan.</v>
          </cell>
        </row>
        <row r="1310">
          <cell r="A1310">
            <v>2</v>
          </cell>
          <cell r="C1310" t="str">
            <v>Kuantitas satuan adalah kuantitas setiap komponen untuk menyelesaikan satu satuan pekerjaan dari nomor</v>
          </cell>
        </row>
        <row r="1311">
          <cell r="C1311" t="str">
            <v>mata pembayaran.</v>
          </cell>
        </row>
        <row r="1312">
          <cell r="A1312">
            <v>3</v>
          </cell>
          <cell r="C1312" t="str">
            <v>Biaya satuan untuk peralatan sudah termasuk bahan bakar, bahan habis dipakai dan operator.</v>
          </cell>
        </row>
        <row r="1313">
          <cell r="A1313">
            <v>4</v>
          </cell>
          <cell r="C1313" t="str">
            <v>Biaya satuan sudah termasuk pengeluaran untuk seluruh pajak yang berkaitan (tetapi tidak termasuk PPN</v>
          </cell>
        </row>
        <row r="1314">
          <cell r="C1314" t="str">
            <v>yang dibayar dari kontrak) dan biaya-biaya lainnya.</v>
          </cell>
        </row>
        <row r="1374">
          <cell r="I1374" t="str">
            <v>Analisa EI-821</v>
          </cell>
        </row>
        <row r="1376">
          <cell r="A1376" t="str">
            <v>FORMULIR STANDAR UNTUK</v>
          </cell>
        </row>
        <row r="1377">
          <cell r="A1377" t="str">
            <v>PEREKAMAN ANALISA MASING-MASING HARGA SATUAN</v>
          </cell>
        </row>
        <row r="1378">
          <cell r="A1378">
            <v>0</v>
          </cell>
        </row>
        <row r="1380">
          <cell r="A1380" t="str">
            <v>Kegiatan</v>
          </cell>
          <cell r="D1380" t="str">
            <v>: Pembangunan Jalan Dinas Bina Marga dan Cipta Karya Prov. NAD</v>
          </cell>
        </row>
        <row r="1381">
          <cell r="A1381" t="str">
            <v>Nama Paket</v>
          </cell>
          <cell r="D1381" t="str">
            <v>: …………………………………………..</v>
          </cell>
        </row>
        <row r="1382">
          <cell r="A1382" t="str">
            <v>Nomor Paket</v>
          </cell>
          <cell r="D1382" t="str">
            <v>: ……………………………………………</v>
          </cell>
        </row>
        <row r="1383">
          <cell r="A1383" t="str">
            <v>Tahun Anggaran</v>
          </cell>
          <cell r="D1383" t="str">
            <v>: 2009</v>
          </cell>
        </row>
        <row r="1384">
          <cell r="A1384" t="str">
            <v>Prop / Kab / Kodya</v>
          </cell>
          <cell r="D1384" t="str">
            <v>: .......................................</v>
          </cell>
        </row>
        <row r="1385">
          <cell r="A1385" t="str">
            <v>ITEM PEMBAYARAN NO.</v>
          </cell>
          <cell r="D1385" t="str">
            <v>:  8.2 (1)</v>
          </cell>
          <cell r="G1385" t="str">
            <v>PERKIRAAN VOL. PEK.</v>
          </cell>
          <cell r="I1385" t="str">
            <v>:</v>
          </cell>
        </row>
        <row r="1386">
          <cell r="A1386" t="str">
            <v>JENIS PEKERJAAN</v>
          </cell>
          <cell r="D1386" t="str">
            <v>:  Perbaikan Bahu &amp; Pek. Minor Lain</v>
          </cell>
          <cell r="G1386" t="str">
            <v>TOTAL HARGA (Rp.)</v>
          </cell>
          <cell r="I1386" t="str">
            <v>:</v>
          </cell>
        </row>
        <row r="1387">
          <cell r="A1387" t="str">
            <v>SATUAN PEMBAYARAN</v>
          </cell>
          <cell r="D1387" t="str">
            <v>:  M3</v>
          </cell>
          <cell r="G1387" t="str">
            <v>% THD. BIAYA PROYEK</v>
          </cell>
          <cell r="I1387" t="str">
            <v>:</v>
          </cell>
        </row>
        <row r="1390">
          <cell r="F1390" t="str">
            <v>PERKIRAAN</v>
          </cell>
          <cell r="G1390" t="str">
            <v>HARGA</v>
          </cell>
          <cell r="H1390" t="str">
            <v>JUMLAH</v>
          </cell>
        </row>
        <row r="1391">
          <cell r="A1391" t="str">
            <v>NO.</v>
          </cell>
          <cell r="C1391" t="str">
            <v>KOMPONEN</v>
          </cell>
          <cell r="E1391" t="str">
            <v>SATUAN</v>
          </cell>
          <cell r="F1391" t="str">
            <v>KUANTITAS</v>
          </cell>
          <cell r="G1391" t="str">
            <v>SATUAN</v>
          </cell>
          <cell r="H1391" t="str">
            <v>HARGA</v>
          </cell>
        </row>
        <row r="1392">
          <cell r="G1392" t="str">
            <v>(Rp.)</v>
          </cell>
          <cell r="H1392" t="str">
            <v>(Rp.)</v>
          </cell>
        </row>
        <row r="1395">
          <cell r="A1395" t="str">
            <v>A.</v>
          </cell>
          <cell r="C1395" t="str">
            <v>TENAGA</v>
          </cell>
        </row>
        <row r="1397">
          <cell r="A1397" t="str">
            <v>1.</v>
          </cell>
          <cell r="C1397" t="str">
            <v>Pekerja Biasa</v>
          </cell>
          <cell r="D1397" t="str">
            <v>(L01)</v>
          </cell>
          <cell r="E1397" t="str">
            <v>Jam</v>
          </cell>
        </row>
        <row r="1398">
          <cell r="A1398" t="str">
            <v>2.</v>
          </cell>
          <cell r="C1398" t="str">
            <v>Mandor</v>
          </cell>
          <cell r="D1398" t="str">
            <v>(L03)</v>
          </cell>
          <cell r="E1398" t="str">
            <v>Jam</v>
          </cell>
        </row>
        <row r="1401">
          <cell r="F1401" t="str">
            <v xml:space="preserve">JUMLAH HARGA TENAGA   </v>
          </cell>
        </row>
        <row r="1403">
          <cell r="A1403" t="str">
            <v>B.</v>
          </cell>
          <cell r="C1403" t="str">
            <v>BAHAN</v>
          </cell>
        </row>
        <row r="1411">
          <cell r="F1411" t="str">
            <v xml:space="preserve">JUMLAH HARGA BAHAN   </v>
          </cell>
        </row>
        <row r="1413">
          <cell r="A1413" t="str">
            <v>C.</v>
          </cell>
          <cell r="C1413" t="str">
            <v>PERALATAN</v>
          </cell>
        </row>
        <row r="1415">
          <cell r="A1415" t="str">
            <v>1.</v>
          </cell>
          <cell r="C1415" t="str">
            <v>Excavator</v>
          </cell>
          <cell r="D1415" t="str">
            <v>(E10)</v>
          </cell>
          <cell r="E1415" t="str">
            <v>Jam</v>
          </cell>
        </row>
        <row r="1416">
          <cell r="A1416" t="str">
            <v>2.</v>
          </cell>
          <cell r="C1416" t="str">
            <v>Dump Truck</v>
          </cell>
          <cell r="D1416" t="str">
            <v>(E08)</v>
          </cell>
          <cell r="E1416" t="str">
            <v>Jam</v>
          </cell>
        </row>
        <row r="1417">
          <cell r="A1417" t="str">
            <v>3.</v>
          </cell>
          <cell r="C1417" t="str">
            <v>Alat Bantu</v>
          </cell>
          <cell r="E1417" t="str">
            <v>Ls</v>
          </cell>
        </row>
        <row r="1423">
          <cell r="F1423" t="str">
            <v xml:space="preserve">JUMLAH HARGA PERALATAN   </v>
          </cell>
        </row>
        <row r="1425">
          <cell r="A1425" t="str">
            <v>D.</v>
          </cell>
          <cell r="C1425" t="str">
            <v>JUMLAH HARGA TENAGA, BAHAN DAN PERALATAN  ( A + B + C )</v>
          </cell>
        </row>
        <row r="1426">
          <cell r="A1426" t="str">
            <v>E.</v>
          </cell>
          <cell r="C1426" t="str">
            <v>OVERHEAD &amp; PROFIT</v>
          </cell>
          <cell r="E1426">
            <v>10</v>
          </cell>
          <cell r="F1426" t="str">
            <v>%  x  D</v>
          </cell>
        </row>
        <row r="1427">
          <cell r="A1427" t="str">
            <v>F.</v>
          </cell>
          <cell r="C1427" t="str">
            <v>HARGA SATUAN PEKERJAAN  ( D + E ) DIBULATKAN</v>
          </cell>
        </row>
        <row r="1428">
          <cell r="A1428" t="str">
            <v>Note: 1</v>
          </cell>
          <cell r="C1428" t="str">
            <v>SATUAN dapat berdasarkan atas jam operasi untuk Tenaga Kerja dan Peralatan, volume dan/atau ukuran</v>
          </cell>
        </row>
        <row r="1429">
          <cell r="C1429" t="str">
            <v>berat untuk bahan-bahan.</v>
          </cell>
        </row>
        <row r="1430">
          <cell r="A1430">
            <v>2</v>
          </cell>
          <cell r="C1430" t="str">
            <v>Kuantitas satuan adalah kuantitas setiap komponen untuk menyelesaikan satu satuan pekerjaan dari nomor</v>
          </cell>
        </row>
        <row r="1431">
          <cell r="C1431" t="str">
            <v>mata pembayaran.</v>
          </cell>
        </row>
        <row r="1432">
          <cell r="A1432">
            <v>3</v>
          </cell>
          <cell r="C1432" t="str">
            <v>Biaya satuan untuk peralatan sudah termasuk bahan bakar, bahan habis dipakai dan operator.</v>
          </cell>
        </row>
        <row r="1433">
          <cell r="A1433">
            <v>4</v>
          </cell>
          <cell r="C1433" t="str">
            <v>Biaya satuan sudah termasuk pengeluaran untuk seluruh pajak yang berkaitan (tetapi tidak termasuk PPN</v>
          </cell>
        </row>
        <row r="1434">
          <cell r="C1434" t="str">
            <v>yang dibayar dari kontrak) dan biaya-biaya lainnya.</v>
          </cell>
        </row>
        <row r="1494">
          <cell r="I1494" t="str">
            <v>Analisa EI-842</v>
          </cell>
        </row>
        <row r="1496">
          <cell r="A1496" t="str">
            <v>FORMULIR STANDAR UNTUK</v>
          </cell>
        </row>
        <row r="1497">
          <cell r="A1497" t="str">
            <v>PEREKAMAN ANALISA MASING-MASING HARGA SATUAN</v>
          </cell>
        </row>
        <row r="1498">
          <cell r="A1498">
            <v>0</v>
          </cell>
        </row>
        <row r="1500">
          <cell r="A1500" t="str">
            <v>Kegiatan</v>
          </cell>
          <cell r="D1500" t="str">
            <v>: Pembangunan Jalan Dinas Bina Marga dan Cipta Karya Prov. NAD</v>
          </cell>
        </row>
        <row r="1501">
          <cell r="A1501" t="str">
            <v>Nama Paket</v>
          </cell>
          <cell r="D1501" t="str">
            <v>: …………………………………………..</v>
          </cell>
        </row>
        <row r="1502">
          <cell r="A1502" t="str">
            <v>Nomor Paket</v>
          </cell>
          <cell r="D1502" t="str">
            <v>: ……………………………………………</v>
          </cell>
        </row>
        <row r="1503">
          <cell r="A1503" t="str">
            <v>Tahun Anggaran</v>
          </cell>
          <cell r="D1503" t="str">
            <v>: 2009</v>
          </cell>
        </row>
        <row r="1504">
          <cell r="A1504" t="str">
            <v>Prop / Kab / Kodya</v>
          </cell>
          <cell r="D1504" t="str">
            <v>: .......................................</v>
          </cell>
        </row>
        <row r="1505">
          <cell r="A1505" t="str">
            <v>ITEM PEMBAYARAN NO.</v>
          </cell>
          <cell r="D1505" t="str">
            <v>:  8.4 (2)</v>
          </cell>
          <cell r="G1505" t="str">
            <v>PERKIRAAN VOL. PEK.</v>
          </cell>
          <cell r="I1505" t="str">
            <v>:</v>
          </cell>
        </row>
        <row r="1506">
          <cell r="A1506" t="str">
            <v>JENIS PEKERJAAN</v>
          </cell>
          <cell r="D1506" t="str">
            <v>:  Marka Jalan (Non Thermoplastic)</v>
          </cell>
          <cell r="G1506" t="str">
            <v>TOTAL HARGA (Rp.)</v>
          </cell>
          <cell r="I1506" t="str">
            <v>:</v>
          </cell>
        </row>
        <row r="1507">
          <cell r="A1507" t="str">
            <v>SATUAN PEMBAYARAN</v>
          </cell>
          <cell r="D1507" t="str">
            <v>:  M2</v>
          </cell>
          <cell r="G1507" t="str">
            <v>% THD. BIAYA PROYEK</v>
          </cell>
          <cell r="I1507" t="str">
            <v>:</v>
          </cell>
        </row>
        <row r="1510">
          <cell r="F1510" t="str">
            <v>PERKIRAAN</v>
          </cell>
          <cell r="G1510" t="str">
            <v>HARGA</v>
          </cell>
          <cell r="H1510" t="str">
            <v>JUMLAH</v>
          </cell>
        </row>
        <row r="1511">
          <cell r="A1511" t="str">
            <v>NO.</v>
          </cell>
          <cell r="C1511" t="str">
            <v>KOMPONEN</v>
          </cell>
          <cell r="E1511" t="str">
            <v>SATUAN</v>
          </cell>
          <cell r="F1511" t="str">
            <v>KUANTITAS</v>
          </cell>
          <cell r="G1511" t="str">
            <v>SATUAN</v>
          </cell>
          <cell r="H1511" t="str">
            <v>HARGA</v>
          </cell>
        </row>
        <row r="1512">
          <cell r="G1512" t="str">
            <v>(Rp.)</v>
          </cell>
          <cell r="H1512" t="str">
            <v>(Rp.)</v>
          </cell>
        </row>
        <row r="1515">
          <cell r="A1515" t="str">
            <v>A.</v>
          </cell>
          <cell r="C1515" t="str">
            <v>TENAGA</v>
          </cell>
        </row>
        <row r="1517">
          <cell r="A1517" t="str">
            <v>1.</v>
          </cell>
          <cell r="C1517" t="str">
            <v>Pekerja Biasa</v>
          </cell>
          <cell r="D1517" t="str">
            <v>(L01)</v>
          </cell>
          <cell r="E1517" t="str">
            <v>jam</v>
          </cell>
        </row>
        <row r="1518">
          <cell r="A1518" t="str">
            <v>2.</v>
          </cell>
          <cell r="C1518" t="str">
            <v>Tukang</v>
          </cell>
          <cell r="D1518" t="str">
            <v>(L02)</v>
          </cell>
          <cell r="E1518" t="str">
            <v>jam</v>
          </cell>
        </row>
        <row r="1519">
          <cell r="A1519" t="str">
            <v>3.</v>
          </cell>
          <cell r="C1519" t="str">
            <v>Mandor</v>
          </cell>
          <cell r="D1519" t="str">
            <v>(L03)</v>
          </cell>
          <cell r="E1519" t="str">
            <v>jam</v>
          </cell>
        </row>
        <row r="1521">
          <cell r="F1521" t="str">
            <v xml:space="preserve">JUMLAH HARGA TENAGA   </v>
          </cell>
        </row>
        <row r="1523">
          <cell r="A1523" t="str">
            <v>B.</v>
          </cell>
          <cell r="C1523" t="str">
            <v>BAHAN</v>
          </cell>
        </row>
        <row r="1525">
          <cell r="A1525" t="str">
            <v>1.</v>
          </cell>
          <cell r="C1525" t="str">
            <v>Cat Marka</v>
          </cell>
          <cell r="D1525" t="str">
            <v>(M17a)</v>
          </cell>
          <cell r="E1525" t="str">
            <v>Kg</v>
          </cell>
          <cell r="F1525">
            <v>1.95</v>
          </cell>
        </row>
        <row r="1526">
          <cell r="A1526" t="str">
            <v>2.</v>
          </cell>
          <cell r="C1526" t="str">
            <v>Thinner</v>
          </cell>
          <cell r="D1526" t="str">
            <v>(M33)</v>
          </cell>
          <cell r="E1526" t="str">
            <v>Liter</v>
          </cell>
          <cell r="F1526">
            <v>1.05</v>
          </cell>
        </row>
        <row r="1527">
          <cell r="A1527" t="str">
            <v>3.</v>
          </cell>
          <cell r="C1527" t="str">
            <v>Blass Bit</v>
          </cell>
          <cell r="D1527" t="str">
            <v>(M34)</v>
          </cell>
          <cell r="E1527" t="str">
            <v>Kg</v>
          </cell>
          <cell r="F1527">
            <v>0.45</v>
          </cell>
        </row>
        <row r="1531">
          <cell r="F1531" t="str">
            <v xml:space="preserve">JUMLAH HARGA BAHAN   </v>
          </cell>
        </row>
        <row r="1533">
          <cell r="A1533" t="str">
            <v>C.</v>
          </cell>
          <cell r="C1533" t="str">
            <v>PERALATAN</v>
          </cell>
        </row>
        <row r="1535">
          <cell r="A1535" t="str">
            <v>1.</v>
          </cell>
          <cell r="C1535" t="str">
            <v>Compressor</v>
          </cell>
          <cell r="D1535" t="str">
            <v>(E05)</v>
          </cell>
          <cell r="E1535" t="str">
            <v>Jam</v>
          </cell>
        </row>
        <row r="1536">
          <cell r="A1536" t="str">
            <v>2.</v>
          </cell>
          <cell r="C1536" t="str">
            <v>Dump Truck</v>
          </cell>
          <cell r="D1536" t="str">
            <v>(E08)</v>
          </cell>
          <cell r="E1536" t="str">
            <v>Jam</v>
          </cell>
        </row>
        <row r="1537">
          <cell r="A1537" t="str">
            <v>3.</v>
          </cell>
          <cell r="C1537" t="str">
            <v>Alat Bantu</v>
          </cell>
          <cell r="E1537" t="str">
            <v>Ls</v>
          </cell>
        </row>
        <row r="1543">
          <cell r="F1543" t="str">
            <v xml:space="preserve">JUMLAH HARGA PERALATAN   </v>
          </cell>
        </row>
        <row r="1545">
          <cell r="A1545" t="str">
            <v>D.</v>
          </cell>
          <cell r="C1545" t="str">
            <v>JUMLAH HARGA TENAGA, BAHAN DAN PERALATAN  ( A + B + C )</v>
          </cell>
        </row>
        <row r="1546">
          <cell r="A1546" t="str">
            <v>E.</v>
          </cell>
          <cell r="C1546" t="str">
            <v>OVERHEAD &amp; PROFIT</v>
          </cell>
          <cell r="E1546">
            <v>10</v>
          </cell>
          <cell r="F1546" t="str">
            <v>%  x  D</v>
          </cell>
        </row>
        <row r="1547">
          <cell r="A1547" t="str">
            <v>F.</v>
          </cell>
          <cell r="C1547" t="str">
            <v>HARGA SATUAN PEKERJAAN  ( D + E ) DIBULATKAN</v>
          </cell>
        </row>
        <row r="1548">
          <cell r="A1548" t="str">
            <v>Note: 1</v>
          </cell>
          <cell r="C1548" t="str">
            <v>SATUAN dapat berdasarkan atas jam operasi untuk Tenaga Kerja dan Peralatan, volume dan/atau ukuran</v>
          </cell>
        </row>
        <row r="1549">
          <cell r="C1549" t="str">
            <v>berat untuk bahan-bahan.</v>
          </cell>
        </row>
        <row r="1550">
          <cell r="A1550">
            <v>2</v>
          </cell>
          <cell r="C1550" t="str">
            <v>Kuantitas satuan adalah kuantitas setiap komponen untuk menyelesaikan satu satuan pekerjaan dari nomor</v>
          </cell>
        </row>
        <row r="1551">
          <cell r="C1551" t="str">
            <v>mata pembayaran.</v>
          </cell>
        </row>
        <row r="1552">
          <cell r="A1552">
            <v>3</v>
          </cell>
          <cell r="C1552" t="str">
            <v>Biaya satuan untuk peralatan sudah termasuk bahan bakar, bahan habis dipakai dan operator.</v>
          </cell>
        </row>
        <row r="1553">
          <cell r="A1553">
            <v>4</v>
          </cell>
          <cell r="C1553" t="str">
            <v>Biaya satuan sudah termasuk pengeluaran untuk seluruh pajak yang berkaitan (tetapi tidak termasuk PPN</v>
          </cell>
        </row>
        <row r="1554">
          <cell r="C1554" t="str">
            <v>yang dibayar dari kontrak) dan biaya-biaya lainnya.</v>
          </cell>
        </row>
        <row r="1614">
          <cell r="I1614" t="str">
            <v>Analisa EI-841</v>
          </cell>
        </row>
        <row r="1616">
          <cell r="A1616" t="str">
            <v>FORMULIR STANDAR UNTUK</v>
          </cell>
        </row>
        <row r="1617">
          <cell r="A1617" t="str">
            <v>PEREKAMAN ANALISA MASING-MASING HARGA SATUAN</v>
          </cell>
        </row>
        <row r="1618">
          <cell r="A1618">
            <v>0</v>
          </cell>
        </row>
        <row r="1620">
          <cell r="A1620" t="str">
            <v>Kegiatan</v>
          </cell>
          <cell r="D1620" t="str">
            <v>: Pembangunan Jalan Dinas Bina Marga dan Cipta Karya Prov. NAD</v>
          </cell>
        </row>
        <row r="1621">
          <cell r="A1621" t="str">
            <v>Nama Paket</v>
          </cell>
          <cell r="D1621" t="str">
            <v>: …………………………………………..</v>
          </cell>
        </row>
        <row r="1622">
          <cell r="A1622" t="str">
            <v>Nomor Paket</v>
          </cell>
          <cell r="D1622" t="str">
            <v>: ……………………………………………</v>
          </cell>
        </row>
        <row r="1623">
          <cell r="A1623" t="str">
            <v>Tahun Anggaran</v>
          </cell>
          <cell r="D1623" t="str">
            <v>: 2009</v>
          </cell>
        </row>
        <row r="1624">
          <cell r="A1624" t="str">
            <v>Prop / Kab / Kodya</v>
          </cell>
          <cell r="D1624" t="str">
            <v>: .......................................</v>
          </cell>
        </row>
        <row r="1625">
          <cell r="A1625" t="str">
            <v>ITEM PEMBAYARAN NO.</v>
          </cell>
          <cell r="D1625" t="str">
            <v>:  8.4 (1)</v>
          </cell>
          <cell r="G1625" t="str">
            <v>PERKIRAAN VOL. PEK.</v>
          </cell>
          <cell r="I1625" t="str">
            <v>:</v>
          </cell>
        </row>
        <row r="1626">
          <cell r="A1626" t="str">
            <v>JENIS PEKERJAAN</v>
          </cell>
          <cell r="D1626" t="str">
            <v>:  Marka Jalan (Thermoplastic)</v>
          </cell>
          <cell r="G1626" t="str">
            <v>TOTAL HARGA (Rp.)</v>
          </cell>
          <cell r="I1626" t="str">
            <v>:</v>
          </cell>
        </row>
        <row r="1627">
          <cell r="A1627" t="str">
            <v>SATUAN PEMBAYARAN</v>
          </cell>
          <cell r="D1627" t="str">
            <v>:  M2</v>
          </cell>
          <cell r="G1627" t="str">
            <v>% THD. BIAYA PROYEK</v>
          </cell>
          <cell r="I1627" t="str">
            <v>:</v>
          </cell>
        </row>
        <row r="1630">
          <cell r="F1630" t="str">
            <v>PERKIRAAN</v>
          </cell>
          <cell r="G1630" t="str">
            <v>HARGA</v>
          </cell>
          <cell r="H1630" t="str">
            <v>JUMLAH</v>
          </cell>
        </row>
        <row r="1631">
          <cell r="A1631" t="str">
            <v>NO.</v>
          </cell>
          <cell r="C1631" t="str">
            <v>KOMPONEN</v>
          </cell>
          <cell r="E1631" t="str">
            <v>SATUAN</v>
          </cell>
          <cell r="F1631" t="str">
            <v>KUANTITAS</v>
          </cell>
          <cell r="G1631" t="str">
            <v>SATUAN</v>
          </cell>
          <cell r="H1631" t="str">
            <v>HARGA</v>
          </cell>
        </row>
        <row r="1632">
          <cell r="G1632" t="str">
            <v>(Rp.)</v>
          </cell>
          <cell r="H1632" t="str">
            <v>(Rp.)</v>
          </cell>
        </row>
        <row r="1635">
          <cell r="A1635" t="str">
            <v>A.</v>
          </cell>
          <cell r="C1635" t="str">
            <v>TENAGA</v>
          </cell>
        </row>
        <row r="1637">
          <cell r="A1637" t="str">
            <v>1.</v>
          </cell>
          <cell r="C1637" t="str">
            <v>Pekerja Biasa</v>
          </cell>
          <cell r="D1637" t="str">
            <v>(L01)</v>
          </cell>
          <cell r="E1637" t="str">
            <v>jam</v>
          </cell>
        </row>
        <row r="1638">
          <cell r="A1638" t="str">
            <v>2.</v>
          </cell>
          <cell r="C1638" t="str">
            <v>Tukang</v>
          </cell>
          <cell r="D1638" t="str">
            <v>(L02)</v>
          </cell>
          <cell r="E1638" t="str">
            <v>jam</v>
          </cell>
        </row>
        <row r="1639">
          <cell r="A1639" t="str">
            <v>3.</v>
          </cell>
          <cell r="C1639" t="str">
            <v>Mandor</v>
          </cell>
          <cell r="D1639" t="str">
            <v>(L03)</v>
          </cell>
          <cell r="E1639" t="str">
            <v>jam</v>
          </cell>
        </row>
        <row r="1641">
          <cell r="F1641" t="str">
            <v xml:space="preserve">JUMLAH HARGA TENAGA   </v>
          </cell>
        </row>
        <row r="1643">
          <cell r="A1643" t="str">
            <v>B.</v>
          </cell>
          <cell r="C1643" t="str">
            <v>BAHAN</v>
          </cell>
        </row>
        <row r="1645">
          <cell r="A1645" t="str">
            <v>1.</v>
          </cell>
          <cell r="C1645" t="str">
            <v>Cat Marka</v>
          </cell>
          <cell r="D1645" t="str">
            <v>(M17b)</v>
          </cell>
          <cell r="E1645" t="str">
            <v>Kg</v>
          </cell>
          <cell r="F1645">
            <v>1.95</v>
          </cell>
        </row>
        <row r="1646">
          <cell r="A1646" t="str">
            <v>2.</v>
          </cell>
          <cell r="C1646" t="str">
            <v>Thinner</v>
          </cell>
          <cell r="D1646" t="str">
            <v>(M33)</v>
          </cell>
          <cell r="E1646" t="str">
            <v>Liter</v>
          </cell>
          <cell r="F1646">
            <v>1.05</v>
          </cell>
        </row>
        <row r="1647">
          <cell r="A1647" t="str">
            <v>3.</v>
          </cell>
          <cell r="C1647" t="str">
            <v>Glass Beat</v>
          </cell>
          <cell r="D1647" t="str">
            <v>(M34)</v>
          </cell>
          <cell r="E1647" t="str">
            <v>Kg</v>
          </cell>
          <cell r="F1647">
            <v>0.45</v>
          </cell>
        </row>
        <row r="1651">
          <cell r="F1651" t="str">
            <v xml:space="preserve">JUMLAH HARGA BAHAN   </v>
          </cell>
        </row>
        <row r="1653">
          <cell r="A1653" t="str">
            <v>C.</v>
          </cell>
          <cell r="C1653" t="str">
            <v>PERALATAN</v>
          </cell>
        </row>
        <row r="1655">
          <cell r="A1655" t="str">
            <v>1.</v>
          </cell>
          <cell r="C1655" t="str">
            <v>Compressor</v>
          </cell>
          <cell r="D1655" t="str">
            <v>(E05)</v>
          </cell>
          <cell r="E1655" t="str">
            <v>Jam</v>
          </cell>
        </row>
        <row r="1656">
          <cell r="A1656" t="str">
            <v>2.</v>
          </cell>
          <cell r="C1656" t="str">
            <v>Dump Truck</v>
          </cell>
          <cell r="D1656" t="str">
            <v>(E08)</v>
          </cell>
          <cell r="E1656" t="str">
            <v>Jam</v>
          </cell>
        </row>
        <row r="1657">
          <cell r="A1657" t="str">
            <v>3.</v>
          </cell>
          <cell r="C1657" t="str">
            <v>Alat Bantu</v>
          </cell>
          <cell r="E1657" t="str">
            <v>Ls</v>
          </cell>
        </row>
        <row r="1663">
          <cell r="F1663" t="str">
            <v xml:space="preserve">JUMLAH HARGA PERALATAN   </v>
          </cell>
        </row>
        <row r="1665">
          <cell r="A1665" t="str">
            <v>D.</v>
          </cell>
          <cell r="C1665" t="str">
            <v>JUMLAH HARGA TENAGA, BAHAN DAN PERALATAN  ( A + B + C )</v>
          </cell>
        </row>
        <row r="1666">
          <cell r="A1666" t="str">
            <v>E.</v>
          </cell>
          <cell r="C1666" t="str">
            <v>OVERHEAD &amp; PROFIT</v>
          </cell>
          <cell r="E1666">
            <v>10</v>
          </cell>
          <cell r="F1666" t="str">
            <v>%  x  D</v>
          </cell>
        </row>
        <row r="1667">
          <cell r="A1667" t="str">
            <v>F.</v>
          </cell>
          <cell r="C1667" t="str">
            <v>HARGA SATUAN PEKERJAAN  ( D + E ) DIBULATKAN</v>
          </cell>
        </row>
        <row r="1668">
          <cell r="A1668" t="str">
            <v>Note: 1</v>
          </cell>
          <cell r="C1668" t="str">
            <v>SATUAN dapat berdasarkan atas jam operasi untuk Tenaga Kerja dan Peralatan, volume dan/atau ukuran</v>
          </cell>
        </row>
        <row r="1669">
          <cell r="C1669" t="str">
            <v>berat untuk bahan-bahan.</v>
          </cell>
        </row>
        <row r="1670">
          <cell r="A1670">
            <v>2</v>
          </cell>
          <cell r="C1670" t="str">
            <v>Kuantitas satuan adalah kuantitas setiap komponen untuk menyelesaikan satu satuan pekerjaan dari nomor</v>
          </cell>
        </row>
        <row r="1671">
          <cell r="C1671" t="str">
            <v>mata pembayaran.</v>
          </cell>
        </row>
        <row r="1672">
          <cell r="A1672">
            <v>3</v>
          </cell>
          <cell r="C1672" t="str">
            <v>Biaya satuan untuk peralatan sudah termasuk bahan bakar, bahan habis dipakai dan operator.</v>
          </cell>
        </row>
        <row r="1673">
          <cell r="A1673">
            <v>4</v>
          </cell>
          <cell r="C1673" t="str">
            <v>Biaya satuan sudah termasuk pengeluaran untuk seluruh pajak yang berkaitan (tetapi tidak termasuk PPN</v>
          </cell>
        </row>
        <row r="1674">
          <cell r="C1674" t="str">
            <v>yang dibayar dari kontrak) dan biaya-biaya lainnya.</v>
          </cell>
        </row>
        <row r="1734">
          <cell r="I1734" t="str">
            <v>Analisa LI-844</v>
          </cell>
        </row>
        <row r="1736">
          <cell r="A1736" t="str">
            <v>FORMULIR STANDAR UNTUK</v>
          </cell>
        </row>
        <row r="1737">
          <cell r="A1737" t="str">
            <v>PEREKAMAN ANALISA MASING-MASING HARGA SATUAN</v>
          </cell>
        </row>
        <row r="1738">
          <cell r="A1738">
            <v>0</v>
          </cell>
        </row>
        <row r="1740">
          <cell r="A1740" t="str">
            <v>Kegiatan</v>
          </cell>
          <cell r="D1740" t="str">
            <v>: Pembangunan Jalan Dinas Bina Marga dan Cipta Karya Prov. NAD</v>
          </cell>
        </row>
        <row r="1741">
          <cell r="A1741" t="str">
            <v>Nama Paket</v>
          </cell>
          <cell r="D1741" t="str">
            <v>: …………………………………………..</v>
          </cell>
        </row>
        <row r="1742">
          <cell r="A1742" t="str">
            <v>Nomor Paket</v>
          </cell>
          <cell r="D1742" t="str">
            <v>: ……………………………………………</v>
          </cell>
        </row>
        <row r="1743">
          <cell r="A1743" t="str">
            <v>Tahun Anggaran</v>
          </cell>
          <cell r="D1743" t="str">
            <v>: 2009</v>
          </cell>
        </row>
        <row r="1744">
          <cell r="A1744" t="str">
            <v>Prop / Kab / Kodya</v>
          </cell>
          <cell r="D1744" t="str">
            <v>: .......................................</v>
          </cell>
        </row>
        <row r="1745">
          <cell r="A1745" t="str">
            <v>ITEM PEMBAYARAN NO.</v>
          </cell>
          <cell r="D1745" t="str">
            <v>:  8.4 (4)</v>
          </cell>
          <cell r="G1745" t="str">
            <v>PERKIRAAN VOL. PEK.</v>
          </cell>
          <cell r="I1745" t="str">
            <v>:</v>
          </cell>
        </row>
        <row r="1746">
          <cell r="A1746" t="str">
            <v>JENIS PEKERJAAN</v>
          </cell>
          <cell r="D1746" t="str">
            <v>:  Rambu Jalan (Engineering Grade)</v>
          </cell>
          <cell r="G1746" t="str">
            <v>TOTAL HARGA (Rp.)</v>
          </cell>
          <cell r="I1746" t="str">
            <v>:</v>
          </cell>
        </row>
        <row r="1747">
          <cell r="A1747" t="str">
            <v>SATUAN PEMBAYARAN</v>
          </cell>
          <cell r="D1747" t="str">
            <v>:  BH</v>
          </cell>
          <cell r="G1747" t="str">
            <v>% THD. BIAYA PROYEK</v>
          </cell>
          <cell r="I1747" t="str">
            <v>:</v>
          </cell>
        </row>
        <row r="1750">
          <cell r="F1750" t="str">
            <v>PERKIRAAN</v>
          </cell>
          <cell r="G1750" t="str">
            <v>HARGA</v>
          </cell>
          <cell r="H1750" t="str">
            <v>JUMLAH</v>
          </cell>
        </row>
        <row r="1751">
          <cell r="A1751" t="str">
            <v>NO.</v>
          </cell>
          <cell r="C1751" t="str">
            <v>KOMPONEN</v>
          </cell>
          <cell r="E1751" t="str">
            <v>SATUAN</v>
          </cell>
          <cell r="F1751" t="str">
            <v>KUANTITAS</v>
          </cell>
          <cell r="G1751" t="str">
            <v>SATUAN</v>
          </cell>
          <cell r="H1751" t="str">
            <v>HARGA</v>
          </cell>
        </row>
        <row r="1752">
          <cell r="G1752" t="str">
            <v>(Rp.)</v>
          </cell>
          <cell r="H1752" t="str">
            <v>(Rp.)</v>
          </cell>
        </row>
        <row r="1755">
          <cell r="A1755" t="str">
            <v>A.</v>
          </cell>
          <cell r="C1755" t="str">
            <v>TENAGA</v>
          </cell>
        </row>
        <row r="1757">
          <cell r="A1757" t="str">
            <v>1.</v>
          </cell>
          <cell r="C1757" t="str">
            <v>Pekerja Biasa</v>
          </cell>
          <cell r="D1757" t="str">
            <v>(L01)</v>
          </cell>
          <cell r="E1757" t="str">
            <v>jam</v>
          </cell>
        </row>
        <row r="1758">
          <cell r="A1758" t="str">
            <v>2.</v>
          </cell>
          <cell r="C1758" t="str">
            <v>Tukang</v>
          </cell>
          <cell r="D1758" t="str">
            <v>(L02)</v>
          </cell>
          <cell r="E1758" t="str">
            <v>jam</v>
          </cell>
        </row>
        <row r="1759">
          <cell r="A1759" t="str">
            <v>3.</v>
          </cell>
          <cell r="C1759" t="str">
            <v>Mandor</v>
          </cell>
          <cell r="D1759" t="str">
            <v>(L03)</v>
          </cell>
          <cell r="E1759" t="str">
            <v>jam</v>
          </cell>
        </row>
        <row r="1761">
          <cell r="F1761" t="str">
            <v xml:space="preserve">JUMLAH HARGA TENAGA   </v>
          </cell>
        </row>
        <row r="1763">
          <cell r="A1763" t="str">
            <v>B.</v>
          </cell>
          <cell r="C1763" t="str">
            <v>BAHAN</v>
          </cell>
        </row>
        <row r="1765">
          <cell r="A1765" t="str">
            <v>1.</v>
          </cell>
          <cell r="C1765" t="str">
            <v>Pelat Rambu</v>
          </cell>
          <cell r="D1765" t="str">
            <v>(M35a)</v>
          </cell>
          <cell r="E1765" t="str">
            <v>BH</v>
          </cell>
          <cell r="F1765">
            <v>1</v>
          </cell>
        </row>
        <row r="1766">
          <cell r="A1766" t="str">
            <v>2.</v>
          </cell>
          <cell r="C1766" t="str">
            <v>Pipa Galvanis</v>
          </cell>
          <cell r="D1766" t="str">
            <v>(M24)</v>
          </cell>
          <cell r="E1766" t="str">
            <v>Batang</v>
          </cell>
          <cell r="F1766">
            <v>1</v>
          </cell>
        </row>
        <row r="1767">
          <cell r="A1767" t="str">
            <v>3.</v>
          </cell>
          <cell r="C1767" t="str">
            <v>Beton K-225</v>
          </cell>
          <cell r="D1767" t="str">
            <v>(M38)</v>
          </cell>
          <cell r="E1767" t="str">
            <v>M3</v>
          </cell>
          <cell r="F1767">
            <v>1.6000000000000004E-2</v>
          </cell>
        </row>
        <row r="1768">
          <cell r="A1768" t="str">
            <v>4.</v>
          </cell>
          <cell r="C1768" t="str">
            <v>Cat, dan bahan lainnya</v>
          </cell>
          <cell r="E1768" t="str">
            <v>Ls</v>
          </cell>
          <cell r="F1768">
            <v>1</v>
          </cell>
        </row>
        <row r="1771">
          <cell r="F1771" t="str">
            <v xml:space="preserve">JUMLAH HARGA BAHAN   </v>
          </cell>
        </row>
        <row r="1773">
          <cell r="A1773" t="str">
            <v>C.</v>
          </cell>
          <cell r="C1773" t="str">
            <v>PERALATAN</v>
          </cell>
        </row>
        <row r="1775">
          <cell r="A1775" t="str">
            <v>1.</v>
          </cell>
          <cell r="C1775" t="str">
            <v>Dump Truck</v>
          </cell>
          <cell r="D1775" t="str">
            <v>(E08)</v>
          </cell>
          <cell r="E1775" t="str">
            <v>Jam</v>
          </cell>
        </row>
        <row r="1776">
          <cell r="A1776" t="str">
            <v>2.</v>
          </cell>
          <cell r="C1776" t="str">
            <v>Alat Bantu</v>
          </cell>
          <cell r="E1776" t="str">
            <v>Ls</v>
          </cell>
        </row>
        <row r="1783">
          <cell r="F1783" t="str">
            <v xml:space="preserve">JUMLAH HARGA PERALATAN   </v>
          </cell>
        </row>
        <row r="1785">
          <cell r="A1785" t="str">
            <v>D.</v>
          </cell>
          <cell r="C1785" t="str">
            <v>JUMLAH HARGA TENAGA, BAHAN DAN PERALATAN  ( A + B + C )</v>
          </cell>
        </row>
        <row r="1786">
          <cell r="A1786" t="str">
            <v>E.</v>
          </cell>
          <cell r="C1786" t="str">
            <v>OVERHEAD &amp; PROFIT</v>
          </cell>
          <cell r="E1786">
            <v>10</v>
          </cell>
          <cell r="F1786" t="str">
            <v>%  x  D</v>
          </cell>
        </row>
        <row r="1787">
          <cell r="A1787" t="str">
            <v>F.</v>
          </cell>
          <cell r="C1787" t="str">
            <v>HARGA SATUAN PEKERJAAN  ( D + E ) DIBULATKAN</v>
          </cell>
        </row>
        <row r="1788">
          <cell r="A1788" t="str">
            <v>Note: 1</v>
          </cell>
          <cell r="C1788" t="str">
            <v>SATUAN dapat berdasarkan atas jam operasi untuk Tenaga Kerja dan Peralatan, volume dan/atau ukuran</v>
          </cell>
        </row>
        <row r="1789">
          <cell r="C1789" t="str">
            <v>berat untuk bahan-bahan.</v>
          </cell>
        </row>
        <row r="1790">
          <cell r="A1790">
            <v>2</v>
          </cell>
          <cell r="C1790" t="str">
            <v>Kuantitas satuan adalah kuantitas setiap komponen untuk menyelesaikan satu satuan pekerjaan dari nomor</v>
          </cell>
        </row>
        <row r="1791">
          <cell r="C1791" t="str">
            <v>mata pembayaran.</v>
          </cell>
        </row>
        <row r="1792">
          <cell r="A1792">
            <v>3</v>
          </cell>
          <cell r="C1792" t="str">
            <v>Biaya satuan untuk peralatan sudah termasuk bahan bakar, bahan habis dipakai dan operator.</v>
          </cell>
        </row>
        <row r="1793">
          <cell r="A1793">
            <v>4</v>
          </cell>
          <cell r="C1793" t="str">
            <v>Biaya satuan sudah termasuk pengeluaran untuk seluruh pajak yang berkaitan (tetapi tidak termasuk PPN</v>
          </cell>
        </row>
        <row r="1794">
          <cell r="C1794" t="str">
            <v>yang dibayar dari kontrak) dan biaya-biaya lainnya.</v>
          </cell>
        </row>
        <row r="1856">
          <cell r="I1856" t="str">
            <v>Analisa LI-845</v>
          </cell>
        </row>
        <row r="1858">
          <cell r="A1858" t="str">
            <v>FORMULIR STANDAR UNTUK</v>
          </cell>
        </row>
        <row r="1859">
          <cell r="A1859" t="str">
            <v>PEREKAMAN ANALISA MASING-MASING HARGA SATUAN</v>
          </cell>
        </row>
        <row r="1860">
          <cell r="A1860">
            <v>0</v>
          </cell>
        </row>
        <row r="1862">
          <cell r="A1862" t="str">
            <v>Kegiatan</v>
          </cell>
          <cell r="D1862" t="str">
            <v>: Pembangunan Jalan Dinas Bina Marga dan Cipta Karya Prov. NAD</v>
          </cell>
        </row>
        <row r="1863">
          <cell r="A1863" t="str">
            <v>Nama Paket</v>
          </cell>
          <cell r="D1863" t="str">
            <v>: …………………………………………..</v>
          </cell>
        </row>
        <row r="1864">
          <cell r="A1864" t="str">
            <v>Nomor Paket</v>
          </cell>
          <cell r="D1864" t="str">
            <v>: ……………………………………………</v>
          </cell>
        </row>
        <row r="1865">
          <cell r="A1865" t="str">
            <v>Tahun Anggaran</v>
          </cell>
          <cell r="D1865" t="str">
            <v>: 2009</v>
          </cell>
        </row>
        <row r="1866">
          <cell r="A1866" t="str">
            <v>Prop / Kab / Kodya</v>
          </cell>
          <cell r="D1866" t="str">
            <v>: .......................................</v>
          </cell>
        </row>
        <row r="1867">
          <cell r="A1867" t="str">
            <v>ITEM PEMBAYARAN NO.</v>
          </cell>
          <cell r="D1867" t="str">
            <v>:  8.4 (5)</v>
          </cell>
          <cell r="G1867" t="str">
            <v>PERKIRAAN VOL. PEK.</v>
          </cell>
          <cell r="I1867" t="str">
            <v>:</v>
          </cell>
        </row>
        <row r="1868">
          <cell r="A1868" t="str">
            <v>JENIS PEKERJAAN</v>
          </cell>
          <cell r="D1868" t="str">
            <v>:  Rambu Jalan (High Int. Grade)</v>
          </cell>
          <cell r="G1868" t="str">
            <v>TOTAL HARGA (Rp.)</v>
          </cell>
          <cell r="I1868" t="str">
            <v>:</v>
          </cell>
        </row>
        <row r="1869">
          <cell r="A1869" t="str">
            <v>SATUAN PEMBAYARAN</v>
          </cell>
          <cell r="D1869" t="str">
            <v>:  BH</v>
          </cell>
          <cell r="G1869" t="str">
            <v>% THD. BIAYA PROYEK</v>
          </cell>
          <cell r="I1869" t="str">
            <v>:</v>
          </cell>
        </row>
        <row r="1872">
          <cell r="F1872" t="str">
            <v>PERKIRAAN</v>
          </cell>
          <cell r="G1872" t="str">
            <v>HARGA</v>
          </cell>
          <cell r="H1872" t="str">
            <v>JUMLAH</v>
          </cell>
        </row>
        <row r="1873">
          <cell r="A1873" t="str">
            <v>NO.</v>
          </cell>
          <cell r="C1873" t="str">
            <v>KOMPONEN</v>
          </cell>
          <cell r="E1873" t="str">
            <v>SATUAN</v>
          </cell>
          <cell r="F1873" t="str">
            <v>KUANTITAS</v>
          </cell>
          <cell r="G1873" t="str">
            <v>SATUAN</v>
          </cell>
          <cell r="H1873" t="str">
            <v>HARGA</v>
          </cell>
        </row>
        <row r="1874">
          <cell r="G1874" t="str">
            <v>(Rp.)</v>
          </cell>
          <cell r="H1874" t="str">
            <v>(Rp.)</v>
          </cell>
        </row>
        <row r="1877">
          <cell r="A1877" t="str">
            <v>A.</v>
          </cell>
          <cell r="C1877" t="str">
            <v>TENAGA</v>
          </cell>
        </row>
        <row r="1879">
          <cell r="A1879" t="str">
            <v>1.</v>
          </cell>
          <cell r="C1879" t="str">
            <v>Pekerja Biasa</v>
          </cell>
          <cell r="D1879" t="str">
            <v>(L01)</v>
          </cell>
          <cell r="E1879" t="str">
            <v>jam</v>
          </cell>
        </row>
        <row r="1880">
          <cell r="A1880" t="str">
            <v>2.</v>
          </cell>
          <cell r="C1880" t="str">
            <v>Tukang</v>
          </cell>
          <cell r="D1880" t="str">
            <v>(L02)</v>
          </cell>
          <cell r="E1880" t="str">
            <v>jam</v>
          </cell>
        </row>
        <row r="1881">
          <cell r="A1881" t="str">
            <v>3.</v>
          </cell>
          <cell r="C1881" t="str">
            <v>Mandor</v>
          </cell>
          <cell r="D1881" t="str">
            <v>(L03)</v>
          </cell>
          <cell r="E1881" t="str">
            <v>jam</v>
          </cell>
        </row>
        <row r="1883">
          <cell r="F1883" t="str">
            <v xml:space="preserve">JUMLAH HARGA TENAGA   </v>
          </cell>
        </row>
        <row r="1885">
          <cell r="A1885" t="str">
            <v>B.</v>
          </cell>
          <cell r="C1885" t="str">
            <v>BAHAN</v>
          </cell>
        </row>
        <row r="1887">
          <cell r="A1887" t="str">
            <v>1.</v>
          </cell>
          <cell r="C1887" t="str">
            <v>Pelat Rambu</v>
          </cell>
          <cell r="D1887" t="str">
            <v>(M35b)</v>
          </cell>
          <cell r="E1887" t="str">
            <v>BH</v>
          </cell>
          <cell r="F1887">
            <v>1</v>
          </cell>
        </row>
        <row r="1888">
          <cell r="A1888" t="str">
            <v>2.</v>
          </cell>
          <cell r="C1888" t="str">
            <v>Pipa Galvanis</v>
          </cell>
          <cell r="D1888" t="str">
            <v>(M24)</v>
          </cell>
          <cell r="E1888" t="str">
            <v>Batang</v>
          </cell>
          <cell r="F1888">
            <v>1</v>
          </cell>
        </row>
        <row r="1889">
          <cell r="A1889" t="str">
            <v>3.</v>
          </cell>
          <cell r="C1889" t="str">
            <v>Beton K-225</v>
          </cell>
          <cell r="D1889" t="str">
            <v>(M38)</v>
          </cell>
          <cell r="E1889" t="str">
            <v>M3</v>
          </cell>
          <cell r="F1889">
            <v>1.6000000000000004E-2</v>
          </cell>
        </row>
        <row r="1890">
          <cell r="A1890" t="str">
            <v>4.</v>
          </cell>
          <cell r="C1890" t="str">
            <v>Cat, dan bahan lainnya</v>
          </cell>
          <cell r="E1890" t="str">
            <v>Ls</v>
          </cell>
          <cell r="F1890">
            <v>1</v>
          </cell>
        </row>
        <row r="1893">
          <cell r="F1893" t="str">
            <v xml:space="preserve">JUMLAH HARGA BAHAN   </v>
          </cell>
        </row>
        <row r="1895">
          <cell r="A1895" t="str">
            <v>C.</v>
          </cell>
          <cell r="C1895" t="str">
            <v>PERALATAN</v>
          </cell>
        </row>
        <row r="1897">
          <cell r="A1897" t="str">
            <v>1.</v>
          </cell>
          <cell r="C1897" t="str">
            <v>Dump Truck</v>
          </cell>
          <cell r="D1897" t="str">
            <v>(E08)</v>
          </cell>
          <cell r="E1897" t="str">
            <v>Jam</v>
          </cell>
        </row>
        <row r="1898">
          <cell r="A1898" t="str">
            <v>2.</v>
          </cell>
          <cell r="C1898" t="str">
            <v>Alat Bantu</v>
          </cell>
          <cell r="E1898" t="str">
            <v>Ls</v>
          </cell>
        </row>
        <row r="1905">
          <cell r="F1905" t="str">
            <v xml:space="preserve">JUMLAH HARGA PERALATAN   </v>
          </cell>
        </row>
        <row r="1907">
          <cell r="A1907" t="str">
            <v>D.</v>
          </cell>
          <cell r="C1907" t="str">
            <v>JUMLAH HARGA TENAGA, BAHAN DAN PERALATAN  ( A + B + C )</v>
          </cell>
        </row>
        <row r="1908">
          <cell r="A1908" t="str">
            <v>E.</v>
          </cell>
          <cell r="C1908" t="str">
            <v>OVERHEAD &amp; PROFIT</v>
          </cell>
          <cell r="E1908">
            <v>10</v>
          </cell>
          <cell r="F1908" t="str">
            <v>%  x  D</v>
          </cell>
        </row>
        <row r="1909">
          <cell r="A1909" t="str">
            <v>F.</v>
          </cell>
          <cell r="C1909" t="str">
            <v>HARGA SATUAN PEKERJAAN  ( D + E ) DIBULATKAN</v>
          </cell>
        </row>
        <row r="1910">
          <cell r="A1910" t="str">
            <v>Note: 1</v>
          </cell>
          <cell r="C1910" t="str">
            <v>SATUAN dapat berdasarkan atas jam operasi untuk Tenaga Kerja dan Peralatan, volume dan/atau ukuran</v>
          </cell>
        </row>
        <row r="1911">
          <cell r="C1911" t="str">
            <v>berat untuk bahan-bahan.</v>
          </cell>
        </row>
        <row r="1912">
          <cell r="A1912">
            <v>2</v>
          </cell>
          <cell r="C1912" t="str">
            <v>Kuantitas satuan adalah kuantitas setiap komponen untuk menyelesaikan satu satuan pekerjaan dari nomor</v>
          </cell>
        </row>
        <row r="1913">
          <cell r="C1913" t="str">
            <v>mata pembayaran.</v>
          </cell>
        </row>
        <row r="1914">
          <cell r="A1914">
            <v>3</v>
          </cell>
          <cell r="C1914" t="str">
            <v>Biaya satuan untuk peralatan sudah termasuk bahan bakar, bahan habis dipakai dan operator.</v>
          </cell>
        </row>
        <row r="1915">
          <cell r="A1915">
            <v>4</v>
          </cell>
          <cell r="C1915" t="str">
            <v>Biaya satuan sudah termasuk pengeluaran untuk seluruh pajak yang berkaitan (tetapi tidak termasuk PPN</v>
          </cell>
        </row>
        <row r="1916">
          <cell r="C1916" t="str">
            <v>yang dibayar dari kontrak) dan biaya-biaya lainnya.</v>
          </cell>
        </row>
        <row r="1978">
          <cell r="I1978" t="str">
            <v>Analisa EI-846</v>
          </cell>
        </row>
        <row r="1980">
          <cell r="A1980" t="str">
            <v>FORMULIR STANDAR UNTUK</v>
          </cell>
        </row>
        <row r="1981">
          <cell r="A1981" t="str">
            <v>PEREKAMAN ANALISA MASING-MASING HARGA SATUAN</v>
          </cell>
        </row>
        <row r="1982">
          <cell r="A1982">
            <v>0</v>
          </cell>
        </row>
        <row r="1984">
          <cell r="A1984" t="str">
            <v>Kegiatan</v>
          </cell>
          <cell r="D1984" t="str">
            <v>: Pembangunan Jalan Dinas Bina Marga dan Cipta Karya Prov. NAD</v>
          </cell>
        </row>
        <row r="1985">
          <cell r="A1985" t="str">
            <v>Nama Paket</v>
          </cell>
          <cell r="D1985" t="str">
            <v>: …………………………………………..</v>
          </cell>
        </row>
        <row r="1986">
          <cell r="A1986" t="str">
            <v>Nomor Paket</v>
          </cell>
          <cell r="D1986" t="str">
            <v>: ……………………………………………</v>
          </cell>
        </row>
        <row r="1987">
          <cell r="A1987" t="str">
            <v>Tahun Anggaran</v>
          </cell>
          <cell r="D1987" t="str">
            <v>: 2009</v>
          </cell>
        </row>
        <row r="1988">
          <cell r="A1988" t="str">
            <v>Prop / Kab / Kodya</v>
          </cell>
          <cell r="D1988" t="str">
            <v>: .......................................</v>
          </cell>
        </row>
        <row r="1989">
          <cell r="A1989" t="str">
            <v>ITEM PEMBAYARAN NO.</v>
          </cell>
          <cell r="D1989" t="str">
            <v>:  8.4 (6)</v>
          </cell>
          <cell r="G1989" t="str">
            <v>PERKIRAAN VOL. PEK.</v>
          </cell>
          <cell r="I1989" t="str">
            <v>:</v>
          </cell>
        </row>
        <row r="1990">
          <cell r="A1990" t="str">
            <v>JENIS PEKERJAAN</v>
          </cell>
          <cell r="D1990" t="str">
            <v>:  Patok Pengarah</v>
          </cell>
          <cell r="G1990" t="str">
            <v>TOTAL HARGA (Rp.)</v>
          </cell>
          <cell r="I1990" t="str">
            <v>:</v>
          </cell>
        </row>
        <row r="1991">
          <cell r="A1991" t="str">
            <v>SATUAN PEMBAYARAN</v>
          </cell>
          <cell r="D1991" t="str">
            <v>:  BH</v>
          </cell>
          <cell r="G1991" t="str">
            <v>% THD. BIAYA PROYEK</v>
          </cell>
          <cell r="I1991" t="str">
            <v>:</v>
          </cell>
        </row>
        <row r="1994">
          <cell r="F1994" t="str">
            <v>PERKIRAAN</v>
          </cell>
          <cell r="G1994" t="str">
            <v>HARGA</v>
          </cell>
          <cell r="H1994" t="str">
            <v>JUMLAH</v>
          </cell>
        </row>
        <row r="1995">
          <cell r="A1995" t="str">
            <v>NO.</v>
          </cell>
          <cell r="C1995" t="str">
            <v>KOMPONEN</v>
          </cell>
          <cell r="E1995" t="str">
            <v>SATUAN</v>
          </cell>
          <cell r="F1995" t="str">
            <v>KUANTITAS</v>
          </cell>
          <cell r="G1995" t="str">
            <v>SATUAN</v>
          </cell>
          <cell r="H1995" t="str">
            <v>HARGA</v>
          </cell>
        </row>
        <row r="1996">
          <cell r="G1996" t="str">
            <v>(Rp.)</v>
          </cell>
          <cell r="H1996" t="str">
            <v>(Rp.)</v>
          </cell>
        </row>
        <row r="1999">
          <cell r="A1999" t="str">
            <v>A.</v>
          </cell>
          <cell r="C1999" t="str">
            <v>TENAGA</v>
          </cell>
        </row>
        <row r="2001">
          <cell r="A2001" t="str">
            <v>1.</v>
          </cell>
          <cell r="C2001" t="str">
            <v>Pekerja Biasa</v>
          </cell>
          <cell r="D2001" t="str">
            <v>(L01)</v>
          </cell>
          <cell r="E2001" t="str">
            <v>jam</v>
          </cell>
        </row>
        <row r="2002">
          <cell r="A2002" t="str">
            <v>2.</v>
          </cell>
          <cell r="C2002" t="str">
            <v>Tukang</v>
          </cell>
          <cell r="D2002" t="str">
            <v>(L02)</v>
          </cell>
          <cell r="E2002" t="str">
            <v>jam</v>
          </cell>
        </row>
        <row r="2003">
          <cell r="A2003" t="str">
            <v>3.</v>
          </cell>
          <cell r="C2003" t="str">
            <v>Mandor</v>
          </cell>
          <cell r="D2003" t="str">
            <v>(L03)</v>
          </cell>
          <cell r="E2003" t="str">
            <v>jam</v>
          </cell>
        </row>
        <row r="2005">
          <cell r="F2005" t="str">
            <v xml:space="preserve">JUMLAH HARGA TENAGA   </v>
          </cell>
        </row>
        <row r="2007">
          <cell r="A2007" t="str">
            <v>B.</v>
          </cell>
          <cell r="C2007" t="str">
            <v>BAHAN</v>
          </cell>
        </row>
        <row r="2009">
          <cell r="A2009" t="str">
            <v>1.</v>
          </cell>
          <cell r="C2009" t="str">
            <v>Beton K-225</v>
          </cell>
          <cell r="D2009" t="str">
            <v>(M38)</v>
          </cell>
          <cell r="E2009" t="str">
            <v>M3</v>
          </cell>
          <cell r="F2009">
            <v>3.5437500000000011E-2</v>
          </cell>
        </row>
        <row r="2010">
          <cell r="A2010" t="str">
            <v>2.</v>
          </cell>
          <cell r="C2010" t="str">
            <v>Baja Tulangan</v>
          </cell>
          <cell r="D2010" t="str">
            <v>(M39)</v>
          </cell>
          <cell r="E2010" t="str">
            <v>Kg</v>
          </cell>
          <cell r="F2010">
            <v>4.6511718750000002</v>
          </cell>
        </row>
        <row r="2011">
          <cell r="A2011" t="str">
            <v>3.</v>
          </cell>
          <cell r="C2011" t="str">
            <v>Cat, dan material lainnya</v>
          </cell>
          <cell r="E2011" t="str">
            <v>Ls</v>
          </cell>
          <cell r="F2011">
            <v>1</v>
          </cell>
        </row>
        <row r="2015">
          <cell r="F2015" t="str">
            <v xml:space="preserve">JUMLAH HARGA BAHAN   </v>
          </cell>
        </row>
        <row r="2017">
          <cell r="A2017" t="str">
            <v>C.</v>
          </cell>
          <cell r="C2017" t="str">
            <v>PERALATAN</v>
          </cell>
        </row>
        <row r="2019">
          <cell r="A2019" t="str">
            <v>1.</v>
          </cell>
          <cell r="C2019" t="str">
            <v>Dump Truck</v>
          </cell>
          <cell r="D2019" t="str">
            <v>(E08)</v>
          </cell>
          <cell r="E2019" t="str">
            <v>Jam</v>
          </cell>
        </row>
        <row r="2020">
          <cell r="A2020" t="str">
            <v>2.</v>
          </cell>
          <cell r="C2020" t="str">
            <v>Alat Bantu</v>
          </cell>
          <cell r="E2020" t="str">
            <v>Ls</v>
          </cell>
        </row>
        <row r="2027">
          <cell r="F2027" t="str">
            <v xml:space="preserve">JUMLAH HARGA PERALATAN   </v>
          </cell>
        </row>
        <row r="2029">
          <cell r="A2029" t="str">
            <v>D.</v>
          </cell>
          <cell r="C2029" t="str">
            <v>JUMLAH HARGA TENAGA, BAHAN DAN PERALATAN  ( A + B + C )</v>
          </cell>
        </row>
        <row r="2030">
          <cell r="A2030" t="str">
            <v>E.</v>
          </cell>
          <cell r="C2030" t="str">
            <v>OVERHEAD &amp; PROFIT</v>
          </cell>
          <cell r="E2030">
            <v>10</v>
          </cell>
          <cell r="F2030" t="str">
            <v>%  x  D</v>
          </cell>
        </row>
        <row r="2031">
          <cell r="A2031" t="str">
            <v>F.</v>
          </cell>
          <cell r="C2031" t="str">
            <v>HARGA SATUAN PEKERJAAN  ( D + E ) DIBULATKAN</v>
          </cell>
        </row>
        <row r="2032">
          <cell r="A2032" t="str">
            <v>Note: 1</v>
          </cell>
          <cell r="C2032" t="str">
            <v>SATUAN dapat berdasarkan atas jam operasi untuk Tenaga Kerja dan Peralatan, volume dan/atau ukuran</v>
          </cell>
        </row>
        <row r="2033">
          <cell r="C2033" t="str">
            <v>berat untuk bahan-bahan.</v>
          </cell>
        </row>
        <row r="2034">
          <cell r="A2034">
            <v>2</v>
          </cell>
          <cell r="C2034" t="str">
            <v>Kuantitas satuan adalah kuantitas setiap komponen untuk menyelesaikan satu satuan pekerjaan dari nomor</v>
          </cell>
        </row>
        <row r="2035">
          <cell r="C2035" t="str">
            <v>mata pembayaran.</v>
          </cell>
        </row>
        <row r="2036">
          <cell r="A2036">
            <v>3</v>
          </cell>
          <cell r="C2036" t="str">
            <v>Biaya satuan untuk peralatan sudah termasuk bahan bakar, bahan habis dipakai dan operator.</v>
          </cell>
        </row>
        <row r="2037">
          <cell r="A2037">
            <v>4</v>
          </cell>
          <cell r="C2037" t="str">
            <v>Biaya satuan sudah termasuk pengeluaran untuk seluruh pajak yang berkaitan (tetapi tidak termasuk PPN</v>
          </cell>
        </row>
        <row r="2038">
          <cell r="C2038" t="str">
            <v>yang dibayar dari kontrak) dan biaya-biaya lainnya.</v>
          </cell>
        </row>
        <row r="2100">
          <cell r="I2100" t="str">
            <v>Analisa EI-847</v>
          </cell>
        </row>
        <row r="2102">
          <cell r="A2102" t="str">
            <v>FORMULIR STANDAR UNTUK</v>
          </cell>
        </row>
        <row r="2103">
          <cell r="A2103" t="str">
            <v>PEREKAMAN ANALISA MASING-MASING HARGA SATUAN</v>
          </cell>
        </row>
        <row r="2104">
          <cell r="A2104">
            <v>0</v>
          </cell>
        </row>
        <row r="2106">
          <cell r="A2106" t="str">
            <v>Kegiatan</v>
          </cell>
          <cell r="D2106" t="str">
            <v>: Pembangunan Jalan Dinas Bina Marga dan Cipta Karya Prov. NAD</v>
          </cell>
        </row>
        <row r="2107">
          <cell r="A2107" t="str">
            <v>Nama Paket</v>
          </cell>
          <cell r="D2107" t="str">
            <v>: …………………………………………..</v>
          </cell>
        </row>
        <row r="2108">
          <cell r="A2108" t="str">
            <v>Nomor Paket</v>
          </cell>
          <cell r="D2108" t="str">
            <v>: ……………………………………………</v>
          </cell>
        </row>
        <row r="2109">
          <cell r="A2109" t="str">
            <v>Tahun Anggaran</v>
          </cell>
          <cell r="D2109" t="str">
            <v>: 2009</v>
          </cell>
        </row>
        <row r="2110">
          <cell r="A2110" t="str">
            <v>Prop / Kab / Kodya</v>
          </cell>
          <cell r="D2110" t="str">
            <v>: .......................................</v>
          </cell>
        </row>
        <row r="2111">
          <cell r="A2111" t="str">
            <v>ITEM PEMBAYARAN NO.</v>
          </cell>
          <cell r="D2111" t="str">
            <v>:  8.4 (6)</v>
          </cell>
          <cell r="G2111" t="str">
            <v>PERKIRAAN VOL. PEK.</v>
          </cell>
          <cell r="I2111" t="str">
            <v>:</v>
          </cell>
        </row>
        <row r="2112">
          <cell r="A2112" t="str">
            <v>JENIS PEKERJAAN</v>
          </cell>
          <cell r="D2112" t="str">
            <v>:  Patok Kilometer</v>
          </cell>
          <cell r="G2112" t="str">
            <v>TOTAL HARGA (Rp.)</v>
          </cell>
          <cell r="I2112" t="str">
            <v>:</v>
          </cell>
        </row>
        <row r="2113">
          <cell r="A2113" t="str">
            <v>SATUAN PEMBAYARAN</v>
          </cell>
          <cell r="D2113" t="str">
            <v>:  BH</v>
          </cell>
          <cell r="G2113" t="str">
            <v>% THD. BIAYA PROYEK</v>
          </cell>
          <cell r="I2113" t="str">
            <v>:</v>
          </cell>
        </row>
        <row r="2116">
          <cell r="F2116" t="str">
            <v>PERKIRAAN</v>
          </cell>
          <cell r="G2116" t="str">
            <v>HARGA</v>
          </cell>
          <cell r="H2116" t="str">
            <v>JUMLAH</v>
          </cell>
        </row>
        <row r="2117">
          <cell r="A2117" t="str">
            <v>NO.</v>
          </cell>
          <cell r="C2117" t="str">
            <v>KOMPONEN</v>
          </cell>
          <cell r="E2117" t="str">
            <v>SATUAN</v>
          </cell>
          <cell r="F2117" t="str">
            <v>KUANTITAS</v>
          </cell>
          <cell r="G2117" t="str">
            <v>SATUAN</v>
          </cell>
          <cell r="H2117" t="str">
            <v>HARGA</v>
          </cell>
        </row>
        <row r="2118">
          <cell r="G2118" t="str">
            <v>(Rp.)</v>
          </cell>
          <cell r="H2118" t="str">
            <v>(Rp.)</v>
          </cell>
        </row>
        <row r="2121">
          <cell r="A2121" t="str">
            <v>A.</v>
          </cell>
          <cell r="C2121" t="str">
            <v>TENAGA</v>
          </cell>
        </row>
        <row r="2123">
          <cell r="A2123" t="str">
            <v>1.</v>
          </cell>
          <cell r="C2123" t="str">
            <v>Pekerja Biasa</v>
          </cell>
          <cell r="D2123" t="str">
            <v>(L01)</v>
          </cell>
          <cell r="E2123" t="str">
            <v>jam</v>
          </cell>
        </row>
        <row r="2124">
          <cell r="A2124" t="str">
            <v>2.</v>
          </cell>
          <cell r="C2124" t="str">
            <v>Tukang</v>
          </cell>
          <cell r="D2124" t="str">
            <v>(L02)</v>
          </cell>
          <cell r="E2124" t="str">
            <v>jam</v>
          </cell>
        </row>
        <row r="2125">
          <cell r="A2125" t="str">
            <v>3.</v>
          </cell>
          <cell r="C2125" t="str">
            <v>Mandor</v>
          </cell>
          <cell r="D2125" t="str">
            <v>(L03)</v>
          </cell>
          <cell r="E2125" t="str">
            <v>jam</v>
          </cell>
        </row>
        <row r="2127">
          <cell r="F2127" t="str">
            <v xml:space="preserve">JUMLAH HARGA TENAGA   </v>
          </cell>
        </row>
        <row r="2129">
          <cell r="A2129" t="str">
            <v>B.</v>
          </cell>
          <cell r="C2129" t="str">
            <v>BAHAN</v>
          </cell>
        </row>
        <row r="2131">
          <cell r="A2131" t="str">
            <v>1.</v>
          </cell>
          <cell r="C2131" t="str">
            <v>Beton K-175</v>
          </cell>
          <cell r="D2131" t="str">
            <v>(M38)</v>
          </cell>
          <cell r="E2131" t="str">
            <v>M3</v>
          </cell>
          <cell r="F2131">
            <v>0.1512</v>
          </cell>
        </row>
        <row r="2132">
          <cell r="A2132" t="str">
            <v>2.</v>
          </cell>
          <cell r="C2132" t="str">
            <v>Baja Tulangan</v>
          </cell>
          <cell r="D2132" t="str">
            <v>(M39)</v>
          </cell>
          <cell r="E2132" t="str">
            <v>Kg</v>
          </cell>
          <cell r="F2132">
            <v>18.899999999999999</v>
          </cell>
        </row>
        <row r="2133">
          <cell r="A2133" t="str">
            <v>3.</v>
          </cell>
          <cell r="C2133" t="str">
            <v>Cat, dan material lainnya</v>
          </cell>
          <cell r="E2133" t="str">
            <v>Ls</v>
          </cell>
          <cell r="F2133">
            <v>1</v>
          </cell>
        </row>
        <row r="2137">
          <cell r="F2137" t="str">
            <v xml:space="preserve">JUMLAH HARGA BAHAN   </v>
          </cell>
        </row>
        <row r="2139">
          <cell r="A2139" t="str">
            <v>C.</v>
          </cell>
          <cell r="C2139" t="str">
            <v>PERALATAN</v>
          </cell>
        </row>
        <row r="2141">
          <cell r="A2141" t="str">
            <v>1.</v>
          </cell>
          <cell r="C2141" t="str">
            <v>Dump Truck</v>
          </cell>
          <cell r="D2141" t="str">
            <v>(E08)</v>
          </cell>
          <cell r="E2141" t="str">
            <v>Jam</v>
          </cell>
        </row>
        <row r="2142">
          <cell r="A2142" t="str">
            <v>2.</v>
          </cell>
          <cell r="C2142" t="str">
            <v>Alat Bantu</v>
          </cell>
          <cell r="E2142" t="str">
            <v>Ls</v>
          </cell>
        </row>
        <row r="2149">
          <cell r="F2149" t="str">
            <v xml:space="preserve">JUMLAH HARGA PERALATAN   </v>
          </cell>
        </row>
        <row r="2151">
          <cell r="A2151" t="str">
            <v>D.</v>
          </cell>
          <cell r="C2151" t="str">
            <v>JUMLAH HARGA TENAGA, BAHAN DAN PERALATAN  ( A + B + C )</v>
          </cell>
        </row>
        <row r="2152">
          <cell r="A2152" t="str">
            <v>E.</v>
          </cell>
          <cell r="C2152" t="str">
            <v>OVERHEAD &amp; PROFIT</v>
          </cell>
          <cell r="E2152">
            <v>10</v>
          </cell>
          <cell r="F2152" t="str">
            <v>%  x  D</v>
          </cell>
        </row>
        <row r="2153">
          <cell r="A2153" t="str">
            <v>F.</v>
          </cell>
          <cell r="C2153" t="str">
            <v>HARGA SATUAN PEKERJAAN  ( D + E ) DIBULATKAN</v>
          </cell>
        </row>
        <row r="2154">
          <cell r="A2154" t="str">
            <v>Note: 1</v>
          </cell>
          <cell r="C2154" t="str">
            <v>SATUAN dapat berdasarkan atas jam operasi untuk Tenaga Kerja dan Peralatan, volume dan/atau ukuran</v>
          </cell>
        </row>
        <row r="2155">
          <cell r="C2155" t="str">
            <v>berat untuk bahan-bahan.</v>
          </cell>
        </row>
        <row r="2156">
          <cell r="A2156">
            <v>2</v>
          </cell>
          <cell r="C2156" t="str">
            <v>Kuantitas satuan adalah kuantitas setiap komponen untuk menyelesaikan satu satuan pekerjaan dari nomor</v>
          </cell>
        </row>
        <row r="2157">
          <cell r="C2157" t="str">
            <v>mata pembayaran.</v>
          </cell>
        </row>
        <row r="2158">
          <cell r="A2158">
            <v>3</v>
          </cell>
          <cell r="C2158" t="str">
            <v>Biaya satuan untuk peralatan sudah termasuk bahan bakar, bahan habis dipakai dan operator.</v>
          </cell>
        </row>
        <row r="2159">
          <cell r="A2159">
            <v>4</v>
          </cell>
          <cell r="C2159" t="str">
            <v>Biaya satuan sudah termasuk pengeluaran untuk seluruh pajak yang berkaitan (tetapi tidak termasuk PPN</v>
          </cell>
        </row>
        <row r="2160">
          <cell r="C2160" t="str">
            <v>yang dibayar dari kontrak) dan biaya-biaya lainnya.</v>
          </cell>
        </row>
        <row r="2222">
          <cell r="I2222" t="str">
            <v>Analisa EI-8410</v>
          </cell>
        </row>
        <row r="2224">
          <cell r="A2224" t="str">
            <v>FORMULIR STANDAR UNTUK</v>
          </cell>
        </row>
        <row r="2225">
          <cell r="A2225" t="str">
            <v>PEREKAMAN ANALISA MASING-MASING HARGA SATUAN</v>
          </cell>
        </row>
        <row r="2226">
          <cell r="A2226">
            <v>0</v>
          </cell>
        </row>
        <row r="2228">
          <cell r="A2228" t="str">
            <v>Kegiatan</v>
          </cell>
          <cell r="D2228" t="str">
            <v>: Pembangunan Jalan Dinas Bina Marga dan Cipta Karya Prov. NAD</v>
          </cell>
        </row>
        <row r="2229">
          <cell r="A2229" t="str">
            <v>Nama Paket</v>
          </cell>
          <cell r="D2229" t="str">
            <v>: …………………………………………..</v>
          </cell>
        </row>
        <row r="2230">
          <cell r="A2230" t="str">
            <v>Nomor Paket</v>
          </cell>
          <cell r="D2230" t="str">
            <v>: ……………………………………………</v>
          </cell>
        </row>
        <row r="2231">
          <cell r="A2231" t="str">
            <v>Tahun Anggaran</v>
          </cell>
          <cell r="D2231" t="str">
            <v>: 2009</v>
          </cell>
        </row>
        <row r="2232">
          <cell r="A2232" t="str">
            <v>Prop / Kab / Kodya</v>
          </cell>
          <cell r="D2232" t="str">
            <v>: .......................................</v>
          </cell>
        </row>
        <row r="2233">
          <cell r="A2233" t="str">
            <v>ITEM PEMBAYARAN NO.</v>
          </cell>
          <cell r="D2233" t="str">
            <v>:  8.4 (10)</v>
          </cell>
          <cell r="G2233" t="str">
            <v>PERKIRAAN VOL. PEK.</v>
          </cell>
          <cell r="I2233" t="str">
            <v>:</v>
          </cell>
        </row>
        <row r="2234">
          <cell r="A2234" t="str">
            <v>JENIS PEKERJAAN</v>
          </cell>
          <cell r="D2234" t="str">
            <v>:  Rel Pengaman</v>
          </cell>
          <cell r="G2234" t="str">
            <v>TOTAL HARGA (Rp.)</v>
          </cell>
          <cell r="I2234" t="str">
            <v>:</v>
          </cell>
        </row>
        <row r="2235">
          <cell r="A2235" t="str">
            <v>SATUAN PEMBAYARAN</v>
          </cell>
          <cell r="D2235" t="str">
            <v>:  M'</v>
          </cell>
          <cell r="G2235" t="str">
            <v>% THD. BIAYA PROYEK</v>
          </cell>
          <cell r="I2235" t="str">
            <v>:</v>
          </cell>
        </row>
        <row r="2238">
          <cell r="F2238" t="str">
            <v>PERKIRAAN</v>
          </cell>
          <cell r="G2238" t="str">
            <v>HARGA</v>
          </cell>
          <cell r="H2238" t="str">
            <v>JUMLAH</v>
          </cell>
        </row>
        <row r="2239">
          <cell r="A2239" t="str">
            <v>NO.</v>
          </cell>
          <cell r="C2239" t="str">
            <v>KOMPONEN</v>
          </cell>
          <cell r="E2239" t="str">
            <v>SATUAN</v>
          </cell>
          <cell r="F2239" t="str">
            <v>KUANTITAS</v>
          </cell>
          <cell r="G2239" t="str">
            <v>SATUAN</v>
          </cell>
          <cell r="H2239" t="str">
            <v>HARGA</v>
          </cell>
        </row>
        <row r="2240">
          <cell r="G2240" t="str">
            <v>(Rp.)</v>
          </cell>
          <cell r="H2240" t="str">
            <v>(Rp.)</v>
          </cell>
        </row>
        <row r="2243">
          <cell r="A2243" t="str">
            <v>A.</v>
          </cell>
          <cell r="C2243" t="str">
            <v>PEKERJA</v>
          </cell>
        </row>
        <row r="2245">
          <cell r="A2245" t="str">
            <v>1.</v>
          </cell>
          <cell r="C2245" t="str">
            <v>Pekerja Biasa</v>
          </cell>
          <cell r="D2245" t="str">
            <v>(L01)</v>
          </cell>
          <cell r="E2245" t="str">
            <v>jam</v>
          </cell>
        </row>
        <row r="2246">
          <cell r="A2246" t="str">
            <v>2.</v>
          </cell>
          <cell r="C2246" t="str">
            <v>Tukang</v>
          </cell>
          <cell r="D2246" t="str">
            <v>(L02)</v>
          </cell>
          <cell r="E2246" t="str">
            <v>jam</v>
          </cell>
        </row>
        <row r="2247">
          <cell r="A2247" t="str">
            <v>3.</v>
          </cell>
          <cell r="C2247" t="str">
            <v>Mandor</v>
          </cell>
          <cell r="D2247" t="str">
            <v>(L03)</v>
          </cell>
          <cell r="E2247" t="str">
            <v>jam</v>
          </cell>
        </row>
        <row r="2249">
          <cell r="F2249" t="str">
            <v xml:space="preserve">JUMLAH HARGA TENAGA   </v>
          </cell>
        </row>
        <row r="2251">
          <cell r="A2251" t="str">
            <v>B.</v>
          </cell>
          <cell r="C2251" t="str">
            <v>BAHAN</v>
          </cell>
        </row>
        <row r="2253">
          <cell r="A2253" t="str">
            <v>1.</v>
          </cell>
          <cell r="C2253" t="str">
            <v>Rel Pengaman</v>
          </cell>
          <cell r="D2253" t="str">
            <v>(M36)</v>
          </cell>
          <cell r="E2253" t="str">
            <v>M'</v>
          </cell>
          <cell r="F2253">
            <v>1.05</v>
          </cell>
        </row>
        <row r="2254">
          <cell r="A2254" t="str">
            <v>2.</v>
          </cell>
          <cell r="C2254" t="str">
            <v>Beton K-225</v>
          </cell>
          <cell r="D2254" t="str">
            <v>(M38)</v>
          </cell>
          <cell r="E2254" t="str">
            <v>M3</v>
          </cell>
          <cell r="F2254">
            <v>9.290304000000002E-2</v>
          </cell>
        </row>
        <row r="2255">
          <cell r="A2255" t="str">
            <v>3.</v>
          </cell>
          <cell r="C2255" t="str">
            <v>Baja Tulangan</v>
          </cell>
          <cell r="D2255" t="str">
            <v>(M39)</v>
          </cell>
          <cell r="E2255" t="str">
            <v>Kg</v>
          </cell>
          <cell r="F2255">
            <v>4.6451520000000013</v>
          </cell>
        </row>
        <row r="2256">
          <cell r="A2256" t="str">
            <v>4.</v>
          </cell>
          <cell r="C2256" t="str">
            <v>Cat, baut, dan lain-lain</v>
          </cell>
          <cell r="E2256" t="str">
            <v>Ls</v>
          </cell>
          <cell r="F2256">
            <v>1</v>
          </cell>
        </row>
        <row r="2259">
          <cell r="F2259" t="str">
            <v xml:space="preserve">JUMLAH HARGA BAHAN   </v>
          </cell>
        </row>
        <row r="2261">
          <cell r="A2261" t="str">
            <v>C.</v>
          </cell>
          <cell r="C2261" t="str">
            <v>PERALATAN</v>
          </cell>
        </row>
        <row r="2263">
          <cell r="A2263" t="str">
            <v>1.</v>
          </cell>
          <cell r="C2263" t="str">
            <v>Dump Truck</v>
          </cell>
          <cell r="D2263" t="str">
            <v>(E08)</v>
          </cell>
          <cell r="E2263" t="str">
            <v>Jam</v>
          </cell>
        </row>
        <row r="2264">
          <cell r="A2264" t="str">
            <v>2.</v>
          </cell>
          <cell r="C2264" t="str">
            <v>Alat Bantu</v>
          </cell>
          <cell r="E2264" t="str">
            <v>Ls</v>
          </cell>
        </row>
        <row r="2271">
          <cell r="F2271" t="str">
            <v xml:space="preserve">JUMLAH HARGA PERALATAN   </v>
          </cell>
        </row>
        <row r="2273">
          <cell r="A2273" t="str">
            <v>D.</v>
          </cell>
          <cell r="C2273" t="str">
            <v>JUMLAH HARGA TENAGA, BAHAN DAN PERALATAN  ( A + B + C )</v>
          </cell>
        </row>
        <row r="2274">
          <cell r="A2274" t="str">
            <v>E.</v>
          </cell>
          <cell r="C2274" t="str">
            <v>OVERHEAD &amp; PROFIT</v>
          </cell>
          <cell r="E2274">
            <v>10</v>
          </cell>
          <cell r="F2274" t="str">
            <v>%  x  D</v>
          </cell>
        </row>
        <row r="2275">
          <cell r="A2275" t="str">
            <v>F.</v>
          </cell>
          <cell r="C2275" t="str">
            <v>HARGA SATUAN PEKERJAAN  ( D + E ) DIBULATKAN</v>
          </cell>
        </row>
        <row r="2276">
          <cell r="A2276" t="str">
            <v>Note: 1</v>
          </cell>
          <cell r="C2276" t="str">
            <v>SATUAN dapat berdasarkan atas jam operasi untuk Tenaga Kerja dan Peralatan, volume dan/atau ukuran</v>
          </cell>
        </row>
        <row r="2277">
          <cell r="C2277" t="str">
            <v>berat untuk bahan-bahan.</v>
          </cell>
        </row>
        <row r="2278">
          <cell r="A2278">
            <v>2</v>
          </cell>
          <cell r="C2278" t="str">
            <v>Kuantitas satuan adalah kuantitas setiap komponen untuk menyelesaikan satu satuan pekerjaan dari nomor</v>
          </cell>
        </row>
        <row r="2279">
          <cell r="C2279" t="str">
            <v>mata pembayaran.</v>
          </cell>
        </row>
        <row r="2280">
          <cell r="A2280">
            <v>3</v>
          </cell>
          <cell r="C2280" t="str">
            <v>Biaya satuan untuk peralatan sudah termasuk bahan bakar, bahan habis dipakai dan operator.</v>
          </cell>
        </row>
        <row r="2281">
          <cell r="A2281">
            <v>4</v>
          </cell>
          <cell r="C2281" t="str">
            <v>Biaya satuan sudah termasuk pengeluaran untuk seluruh pajak yang berkaitan (tetapi tidak termasuk PPN</v>
          </cell>
        </row>
        <row r="2282">
          <cell r="C2282" t="str">
            <v>yang dibayar dari kontrak) dan biaya-biaya lainnya.</v>
          </cell>
        </row>
      </sheetData>
      <sheetData sheetId="22">
        <row r="1">
          <cell r="J1" t="str">
            <v>Analisa EI-94</v>
          </cell>
        </row>
        <row r="3">
          <cell r="A3" t="str">
            <v>FORMULIR STANDAR UNTUK</v>
          </cell>
        </row>
        <row r="4">
          <cell r="A4" t="str">
            <v>PEREKAMAN ANALISA MASING-MASING HARGA SATUAN</v>
          </cell>
        </row>
        <row r="5">
          <cell r="A5">
            <v>0</v>
          </cell>
        </row>
        <row r="7">
          <cell r="A7" t="str">
            <v>Kegiatan</v>
          </cell>
          <cell r="D7" t="str">
            <v>: Pembangunan Jalan Dinas Bina Marga dan Cipta Karya Prov. NAD</v>
          </cell>
        </row>
        <row r="8">
          <cell r="A8" t="str">
            <v>Nama Paket</v>
          </cell>
          <cell r="D8" t="str">
            <v>: …………………………………………..</v>
          </cell>
        </row>
        <row r="9">
          <cell r="A9" t="str">
            <v>Nomor Paket</v>
          </cell>
          <cell r="D9" t="str">
            <v>: ……………………………………………</v>
          </cell>
        </row>
        <row r="10">
          <cell r="A10" t="str">
            <v>Tahun Anggaran</v>
          </cell>
          <cell r="D10" t="str">
            <v>: 2009</v>
          </cell>
        </row>
        <row r="11">
          <cell r="A11" t="str">
            <v>Prop / Kab / Kodya</v>
          </cell>
          <cell r="D11" t="str">
            <v>: .......................................................</v>
          </cell>
        </row>
        <row r="12">
          <cell r="A12" t="str">
            <v>ITEM PEMBAYARAN NO.</v>
          </cell>
          <cell r="D12" t="str">
            <v>:  9.1(4)</v>
          </cell>
          <cell r="H12" t="str">
            <v>PERKIRAAN VOL. PEK.</v>
          </cell>
          <cell r="J12" t="str">
            <v>:</v>
          </cell>
        </row>
        <row r="13">
          <cell r="A13" t="str">
            <v>JENIS PEKERJAAN</v>
          </cell>
          <cell r="D13" t="str">
            <v>:  PEKERJAAN HARIAN</v>
          </cell>
          <cell r="H13" t="str">
            <v>TOTAL HARGA (Rp.)</v>
          </cell>
          <cell r="J13" t="str">
            <v>:</v>
          </cell>
        </row>
        <row r="14">
          <cell r="E14" t="str">
            <v>DUMP TRUCK 3-4 M3</v>
          </cell>
          <cell r="H14" t="str">
            <v>% THD. BIAYA PROYEK</v>
          </cell>
          <cell r="J14" t="str">
            <v>:</v>
          </cell>
        </row>
        <row r="15">
          <cell r="A15" t="str">
            <v>SATUAN PEMBAYARAN</v>
          </cell>
          <cell r="D15" t="str">
            <v>:  JAM</v>
          </cell>
          <cell r="F15" t="str">
            <v>(E08)</v>
          </cell>
        </row>
        <row r="18">
          <cell r="G18" t="str">
            <v>PERKIRAAN</v>
          </cell>
          <cell r="H18" t="str">
            <v>HARGA</v>
          </cell>
          <cell r="I18" t="str">
            <v>JUMLAH</v>
          </cell>
        </row>
        <row r="19">
          <cell r="A19" t="str">
            <v>NO.</v>
          </cell>
          <cell r="C19" t="str">
            <v>KOMPONEN</v>
          </cell>
          <cell r="F19" t="str">
            <v>SATUAN</v>
          </cell>
          <cell r="G19" t="str">
            <v>KUANTITAS</v>
          </cell>
          <cell r="H19" t="str">
            <v>SATUAN</v>
          </cell>
          <cell r="I19" t="str">
            <v>HARGA</v>
          </cell>
        </row>
        <row r="20">
          <cell r="H20" t="str">
            <v>(Rp.)</v>
          </cell>
          <cell r="I20" t="str">
            <v>(Rp.)</v>
          </cell>
        </row>
        <row r="23">
          <cell r="A23" t="str">
            <v>A.</v>
          </cell>
          <cell r="C23" t="str">
            <v>PEKERJA</v>
          </cell>
        </row>
        <row r="25">
          <cell r="A25" t="str">
            <v>1.</v>
          </cell>
          <cell r="C25" t="str">
            <v>-</v>
          </cell>
          <cell r="G25" t="str">
            <v xml:space="preserve">-  </v>
          </cell>
          <cell r="H25" t="str">
            <v xml:space="preserve">-   </v>
          </cell>
          <cell r="K25" t="str">
            <v>-</v>
          </cell>
        </row>
        <row r="26">
          <cell r="A26" t="str">
            <v>2.</v>
          </cell>
          <cell r="C26" t="str">
            <v>-</v>
          </cell>
          <cell r="G26" t="str">
            <v xml:space="preserve">-  </v>
          </cell>
          <cell r="H26" t="str">
            <v xml:space="preserve">-   </v>
          </cell>
          <cell r="K26" t="str">
            <v>-</v>
          </cell>
        </row>
        <row r="31">
          <cell r="A31" t="str">
            <v>B.</v>
          </cell>
          <cell r="C31" t="str">
            <v>BAHAN</v>
          </cell>
        </row>
        <row r="33">
          <cell r="A33" t="str">
            <v>1.</v>
          </cell>
          <cell r="C33" t="str">
            <v>-</v>
          </cell>
          <cell r="G33" t="str">
            <v xml:space="preserve">-  </v>
          </cell>
          <cell r="H33" t="str">
            <v xml:space="preserve">-   </v>
          </cell>
          <cell r="K33" t="str">
            <v>-</v>
          </cell>
        </row>
        <row r="34">
          <cell r="A34" t="str">
            <v>2.</v>
          </cell>
          <cell r="C34" t="str">
            <v>-</v>
          </cell>
          <cell r="G34" t="str">
            <v xml:space="preserve">-  </v>
          </cell>
          <cell r="H34" t="str">
            <v xml:space="preserve">-   </v>
          </cell>
          <cell r="K34" t="str">
            <v>-</v>
          </cell>
        </row>
        <row r="42">
          <cell r="A42" t="str">
            <v>C.</v>
          </cell>
          <cell r="C42" t="str">
            <v>ALAT</v>
          </cell>
        </row>
        <row r="44">
          <cell r="A44" t="str">
            <v>1.</v>
          </cell>
          <cell r="C44" t="str">
            <v>DUMP TRUCK 3-4 M3</v>
          </cell>
          <cell r="F44" t="str">
            <v>jam</v>
          </cell>
        </row>
        <row r="45">
          <cell r="A45" t="str">
            <v>2.</v>
          </cell>
          <cell r="C45" t="str">
            <v>-</v>
          </cell>
          <cell r="F45" t="str">
            <v>jam</v>
          </cell>
          <cell r="G45" t="str">
            <v xml:space="preserve">-  </v>
          </cell>
          <cell r="H45" t="str">
            <v xml:space="preserve">-   </v>
          </cell>
          <cell r="K45" t="str">
            <v>-</v>
          </cell>
        </row>
        <row r="53">
          <cell r="A53" t="str">
            <v>D.</v>
          </cell>
          <cell r="C53" t="str">
            <v>JUMLAH HARGA TENAGA, BAHAN DAN ALAT  ( A + B + C )</v>
          </cell>
        </row>
        <row r="54">
          <cell r="A54" t="str">
            <v>E.</v>
          </cell>
          <cell r="C54" t="str">
            <v>OVERHEAD &amp; PROFIT</v>
          </cell>
          <cell r="F54">
            <v>10</v>
          </cell>
          <cell r="G54" t="str">
            <v>%  x  D</v>
          </cell>
        </row>
        <row r="55">
          <cell r="A55" t="str">
            <v>F.</v>
          </cell>
          <cell r="C55" t="str">
            <v>HARGA SATUAN PEKERJAAN  ( D + E ) DIBULATKAN</v>
          </cell>
        </row>
        <row r="56">
          <cell r="A56" t="str">
            <v>Note: 1</v>
          </cell>
          <cell r="C56" t="str">
            <v>SATUAN dapat berdasarkan atas jam operasi untuk Tenaga Kerja dan Peralatan, volume dan/atau ukuran</v>
          </cell>
        </row>
        <row r="57">
          <cell r="C57" t="str">
            <v>berat untuk bahan-bahan.</v>
          </cell>
        </row>
        <row r="58">
          <cell r="A58">
            <v>2</v>
          </cell>
          <cell r="C58" t="str">
            <v>Kuantitas satuan adalah kuantitas setiap komponen untuk menyelesaikan satu satuan pekerjaan dari nomor</v>
          </cell>
        </row>
        <row r="59">
          <cell r="C59" t="str">
            <v>mata pembayaran.</v>
          </cell>
        </row>
        <row r="60">
          <cell r="A60">
            <v>3</v>
          </cell>
          <cell r="C60" t="str">
            <v>Biaya satuan untuk peralatan sudah termasuk bahan bakar, bahan habis dipakai dan operator.</v>
          </cell>
        </row>
        <row r="61">
          <cell r="A61">
            <v>4</v>
          </cell>
          <cell r="C61" t="str">
            <v>Biaya satuan sudah termasuk pengeluaran untuk seluruh pajak yang berkaitan (tetapi tidak termasuk PPN</v>
          </cell>
        </row>
        <row r="62">
          <cell r="C62" t="str">
            <v>yang dibayar dari kontrak) dan biaya-biaya lainnya.</v>
          </cell>
        </row>
        <row r="63">
          <cell r="J63" t="str">
            <v>Analisa EI-95</v>
          </cell>
        </row>
        <row r="65">
          <cell r="A65" t="str">
            <v>FORMULIR STANDAR UNTUK</v>
          </cell>
        </row>
        <row r="66">
          <cell r="A66" t="str">
            <v>PEREKAMAN ANALISA MASING-MASING HARGA SATUAN</v>
          </cell>
        </row>
        <row r="67">
          <cell r="A67">
            <v>0</v>
          </cell>
        </row>
        <row r="69">
          <cell r="A69" t="str">
            <v>Kegiatan</v>
          </cell>
          <cell r="D69" t="str">
            <v>: Pembangunan Jalan Dinas Bina Marga dan Cipta Karya Prov. NAD</v>
          </cell>
        </row>
        <row r="70">
          <cell r="A70" t="str">
            <v>Nama Paket</v>
          </cell>
          <cell r="D70" t="str">
            <v>: …………………………………………..</v>
          </cell>
        </row>
        <row r="71">
          <cell r="A71" t="str">
            <v>Nomor Paket</v>
          </cell>
          <cell r="D71" t="str">
            <v>: ……………………………………………</v>
          </cell>
        </row>
        <row r="72">
          <cell r="A72" t="str">
            <v>Tahun Anggaran</v>
          </cell>
          <cell r="D72" t="str">
            <v>: 2009</v>
          </cell>
        </row>
        <row r="73">
          <cell r="A73" t="str">
            <v>Prop / Kab / Kodya</v>
          </cell>
          <cell r="D73" t="str">
            <v>: .......................................................</v>
          </cell>
        </row>
        <row r="74">
          <cell r="A74" t="str">
            <v>ITEM PEMBAYARAN NO.</v>
          </cell>
          <cell r="D74" t="str">
            <v>:  9.1(5)</v>
          </cell>
          <cell r="H74" t="str">
            <v>PERKIRAAN VOL. PEK.</v>
          </cell>
          <cell r="J74" t="str">
            <v>:</v>
          </cell>
        </row>
        <row r="75">
          <cell r="A75" t="str">
            <v>JENIS PEKERJAAN</v>
          </cell>
          <cell r="D75" t="str">
            <v>:  PEKERJAAN HARIAN</v>
          </cell>
          <cell r="H75" t="str">
            <v>TOTAL HARGA (Rp.)</v>
          </cell>
          <cell r="J75" t="str">
            <v>:</v>
          </cell>
        </row>
        <row r="76">
          <cell r="E76" t="str">
            <v>FLAT BED TRUCK 3-4 M3</v>
          </cell>
          <cell r="H76" t="str">
            <v>% THD. BIAYA PROYEK</v>
          </cell>
          <cell r="J76" t="str">
            <v>:</v>
          </cell>
        </row>
        <row r="77">
          <cell r="A77" t="str">
            <v>SATUAN PEMBAYARAN</v>
          </cell>
          <cell r="D77" t="str">
            <v>:  JAM</v>
          </cell>
          <cell r="F77" t="str">
            <v>(E11)</v>
          </cell>
        </row>
        <row r="80">
          <cell r="G80" t="str">
            <v>PERKIRAAN</v>
          </cell>
          <cell r="H80" t="str">
            <v>HARGA</v>
          </cell>
          <cell r="I80" t="str">
            <v>JUMLAH</v>
          </cell>
        </row>
        <row r="81">
          <cell r="A81" t="str">
            <v>NO.</v>
          </cell>
          <cell r="C81" t="str">
            <v>KOMPONEN</v>
          </cell>
          <cell r="F81" t="str">
            <v>SATUAN</v>
          </cell>
          <cell r="G81" t="str">
            <v>KUANTITAS</v>
          </cell>
          <cell r="H81" t="str">
            <v>SATUAN</v>
          </cell>
          <cell r="I81" t="str">
            <v>HARGA</v>
          </cell>
        </row>
        <row r="82">
          <cell r="H82" t="str">
            <v>(Rp.)</v>
          </cell>
          <cell r="I82" t="str">
            <v>(Rp.)</v>
          </cell>
        </row>
        <row r="85">
          <cell r="A85" t="str">
            <v>A.</v>
          </cell>
          <cell r="C85" t="str">
            <v>PEKERJA</v>
          </cell>
        </row>
        <row r="87">
          <cell r="A87" t="str">
            <v>1.</v>
          </cell>
          <cell r="C87" t="str">
            <v>-</v>
          </cell>
          <cell r="G87" t="str">
            <v xml:space="preserve">-  </v>
          </cell>
          <cell r="H87" t="str">
            <v xml:space="preserve">-   </v>
          </cell>
          <cell r="K87" t="str">
            <v>-</v>
          </cell>
        </row>
        <row r="88">
          <cell r="A88" t="str">
            <v>2.</v>
          </cell>
          <cell r="C88" t="str">
            <v>-</v>
          </cell>
          <cell r="G88" t="str">
            <v xml:space="preserve">-  </v>
          </cell>
          <cell r="H88" t="str">
            <v xml:space="preserve">-   </v>
          </cell>
          <cell r="K88" t="str">
            <v>-</v>
          </cell>
        </row>
        <row r="93">
          <cell r="A93" t="str">
            <v>B.</v>
          </cell>
          <cell r="C93" t="str">
            <v>BAHAN</v>
          </cell>
        </row>
        <row r="95">
          <cell r="A95" t="str">
            <v>1.</v>
          </cell>
          <cell r="C95" t="str">
            <v>-</v>
          </cell>
          <cell r="G95" t="str">
            <v xml:space="preserve">-  </v>
          </cell>
          <cell r="H95" t="str">
            <v xml:space="preserve">-   </v>
          </cell>
          <cell r="K95" t="str">
            <v>-</v>
          </cell>
        </row>
        <row r="96">
          <cell r="A96" t="str">
            <v>2.</v>
          </cell>
          <cell r="C96" t="str">
            <v>-</v>
          </cell>
          <cell r="G96" t="str">
            <v xml:space="preserve">-  </v>
          </cell>
          <cell r="H96" t="str">
            <v xml:space="preserve">-   </v>
          </cell>
          <cell r="K96" t="str">
            <v>-</v>
          </cell>
        </row>
        <row r="104">
          <cell r="A104" t="str">
            <v>C.</v>
          </cell>
          <cell r="C104" t="str">
            <v>ALAT</v>
          </cell>
        </row>
        <row r="106">
          <cell r="A106" t="str">
            <v>1.</v>
          </cell>
          <cell r="C106" t="str">
            <v>FLAT BED TRUCK 3-4 M3</v>
          </cell>
          <cell r="F106" t="str">
            <v>jam</v>
          </cell>
        </row>
        <row r="107">
          <cell r="A107" t="str">
            <v>2.</v>
          </cell>
          <cell r="C107" t="str">
            <v>-</v>
          </cell>
          <cell r="F107" t="str">
            <v>jam</v>
          </cell>
          <cell r="G107" t="str">
            <v xml:space="preserve">-  </v>
          </cell>
          <cell r="H107" t="str">
            <v xml:space="preserve">-   </v>
          </cell>
          <cell r="K107" t="str">
            <v>-</v>
          </cell>
        </row>
        <row r="115">
          <cell r="A115" t="str">
            <v>D.</v>
          </cell>
          <cell r="C115" t="str">
            <v>JUMLAH HARGA TENAGA, BAHAN DAN ALAT  ( A + B + C )</v>
          </cell>
        </row>
        <row r="116">
          <cell r="A116" t="str">
            <v>E.</v>
          </cell>
          <cell r="C116" t="str">
            <v>OVERHEAD &amp; PROFIT</v>
          </cell>
          <cell r="F116">
            <v>10</v>
          </cell>
          <cell r="G116" t="str">
            <v>%  x  D</v>
          </cell>
        </row>
        <row r="117">
          <cell r="A117" t="str">
            <v>F.</v>
          </cell>
          <cell r="C117" t="str">
            <v>HARGA SATUAN PEKERJAAN  ( D + E ) DIBULATKAN</v>
          </cell>
        </row>
        <row r="118">
          <cell r="A118" t="str">
            <v>Note: 1</v>
          </cell>
          <cell r="C118" t="str">
            <v>SATUAN dapat berdasarkan atas jam operasi untuk Tenaga Kerja dan Peralatan, volume dan/atau ukuran</v>
          </cell>
        </row>
        <row r="119">
          <cell r="C119" t="str">
            <v>berat untuk bahan-bahan.</v>
          </cell>
        </row>
        <row r="120">
          <cell r="A120">
            <v>2</v>
          </cell>
          <cell r="C120" t="str">
            <v>Kuantitas satuan adalah kuantitas setiap komponen untuk menyelesaikan satu satuan pekerjaan dari nomor</v>
          </cell>
        </row>
        <row r="121">
          <cell r="C121" t="str">
            <v>mata pembayaran.</v>
          </cell>
        </row>
        <row r="122">
          <cell r="A122">
            <v>3</v>
          </cell>
          <cell r="C122" t="str">
            <v>Biaya satuan untuk peralatan sudah termasuk bahan bakar, bahan habis dipakai dan operator.</v>
          </cell>
        </row>
        <row r="123">
          <cell r="A123">
            <v>4</v>
          </cell>
          <cell r="C123" t="str">
            <v>Biaya satuan sudah termasuk pengeluaran untuk seluruh pajak yang berkaitan (tetapi tidak termasuk PPN</v>
          </cell>
        </row>
        <row r="124">
          <cell r="C124" t="str">
            <v>yang dibayar dari kontrak) dan biaya-biaya lainnya.</v>
          </cell>
        </row>
        <row r="125">
          <cell r="J125" t="str">
            <v>Analisa EI-96</v>
          </cell>
        </row>
        <row r="127">
          <cell r="A127" t="str">
            <v>FORMULIR STANDAR UNTUK</v>
          </cell>
        </row>
        <row r="128">
          <cell r="A128" t="str">
            <v>PEREKAMAN ANALISA MASING-MASING HARGA SATUAN</v>
          </cell>
        </row>
        <row r="129">
          <cell r="A129">
            <v>0</v>
          </cell>
        </row>
        <row r="131">
          <cell r="A131" t="str">
            <v>Kegiatan</v>
          </cell>
          <cell r="D131" t="str">
            <v>: Pembangunan Jalan Dinas Bina Marga dan Cipta Karya Prov. NAD</v>
          </cell>
        </row>
        <row r="132">
          <cell r="A132" t="str">
            <v>Nama Paket</v>
          </cell>
          <cell r="D132" t="str">
            <v>: …………………………………………..</v>
          </cell>
        </row>
        <row r="133">
          <cell r="A133" t="str">
            <v>Nomor Paket</v>
          </cell>
          <cell r="D133" t="str">
            <v>: ……………………………………………</v>
          </cell>
        </row>
        <row r="134">
          <cell r="A134" t="str">
            <v>Tahun Anggaran</v>
          </cell>
          <cell r="D134" t="str">
            <v>: 2009</v>
          </cell>
        </row>
        <row r="135">
          <cell r="A135" t="str">
            <v>Prop / Kab / Kodya</v>
          </cell>
          <cell r="D135" t="str">
            <v>: .......................................................</v>
          </cell>
        </row>
        <row r="136">
          <cell r="A136" t="str">
            <v>ITEM PEMBAYARAN NO.</v>
          </cell>
          <cell r="D136" t="str">
            <v>:  9.1(6)</v>
          </cell>
          <cell r="H136" t="str">
            <v>PERKIRAAN VOL. PEK.</v>
          </cell>
          <cell r="J136" t="str">
            <v>:</v>
          </cell>
        </row>
        <row r="137">
          <cell r="A137" t="str">
            <v>JENIS PEKERJAAN</v>
          </cell>
          <cell r="D137" t="str">
            <v>:  PEKERJAAN HARIAN</v>
          </cell>
          <cell r="H137" t="str">
            <v>TOTAL HARGA (Rp.)</v>
          </cell>
          <cell r="J137" t="str">
            <v>:</v>
          </cell>
        </row>
        <row r="138">
          <cell r="E138" t="str">
            <v>WATER TANKER 3000-4500 L.</v>
          </cell>
          <cell r="H138" t="str">
            <v>% THD. BIAYA PROYEK</v>
          </cell>
          <cell r="J138" t="str">
            <v>:</v>
          </cell>
        </row>
        <row r="139">
          <cell r="A139" t="str">
            <v>SATUAN PEMBAYARAN</v>
          </cell>
          <cell r="D139" t="str">
            <v>:  JAM</v>
          </cell>
          <cell r="F139" t="str">
            <v>(E23)</v>
          </cell>
        </row>
        <row r="142">
          <cell r="G142" t="str">
            <v>PERKIRAAN</v>
          </cell>
          <cell r="H142" t="str">
            <v>HARGA</v>
          </cell>
          <cell r="I142" t="str">
            <v>JUMLAH</v>
          </cell>
        </row>
        <row r="143">
          <cell r="A143" t="str">
            <v>NO.</v>
          </cell>
          <cell r="C143" t="str">
            <v>KOMPONEN</v>
          </cell>
          <cell r="F143" t="str">
            <v>SATUAN</v>
          </cell>
          <cell r="G143" t="str">
            <v>KUANTITAS</v>
          </cell>
          <cell r="H143" t="str">
            <v>SATUAN</v>
          </cell>
          <cell r="I143" t="str">
            <v>HARGA</v>
          </cell>
        </row>
        <row r="144">
          <cell r="H144" t="str">
            <v>(Rp.)</v>
          </cell>
          <cell r="I144" t="str">
            <v>(Rp.)</v>
          </cell>
        </row>
        <row r="147">
          <cell r="A147" t="str">
            <v>A.</v>
          </cell>
          <cell r="C147" t="str">
            <v>PEKERJA</v>
          </cell>
        </row>
        <row r="149">
          <cell r="A149" t="str">
            <v>1.</v>
          </cell>
          <cell r="C149" t="str">
            <v>-</v>
          </cell>
          <cell r="G149" t="str">
            <v xml:space="preserve">-  </v>
          </cell>
          <cell r="H149" t="str">
            <v xml:space="preserve">-   </v>
          </cell>
          <cell r="K149" t="str">
            <v>-</v>
          </cell>
        </row>
        <row r="150">
          <cell r="A150" t="str">
            <v>2.</v>
          </cell>
          <cell r="C150" t="str">
            <v>-</v>
          </cell>
          <cell r="G150" t="str">
            <v xml:space="preserve">-  </v>
          </cell>
          <cell r="H150" t="str">
            <v xml:space="preserve">-   </v>
          </cell>
          <cell r="K150" t="str">
            <v>-</v>
          </cell>
        </row>
        <row r="155">
          <cell r="A155" t="str">
            <v>B.</v>
          </cell>
          <cell r="C155" t="str">
            <v>BAHAN</v>
          </cell>
        </row>
        <row r="157">
          <cell r="A157" t="str">
            <v>1.</v>
          </cell>
          <cell r="C157" t="str">
            <v>-</v>
          </cell>
          <cell r="G157" t="str">
            <v xml:space="preserve">-  </v>
          </cell>
          <cell r="H157" t="str">
            <v xml:space="preserve">-   </v>
          </cell>
          <cell r="K157" t="str">
            <v>-</v>
          </cell>
        </row>
        <row r="158">
          <cell r="A158" t="str">
            <v>2.</v>
          </cell>
          <cell r="C158" t="str">
            <v>-</v>
          </cell>
          <cell r="G158" t="str">
            <v xml:space="preserve">-  </v>
          </cell>
          <cell r="H158" t="str">
            <v xml:space="preserve">-   </v>
          </cell>
          <cell r="K158" t="str">
            <v>-</v>
          </cell>
        </row>
        <row r="166">
          <cell r="A166" t="str">
            <v>C.</v>
          </cell>
          <cell r="C166" t="str">
            <v>ALAT</v>
          </cell>
        </row>
        <row r="168">
          <cell r="A168" t="str">
            <v>1.</v>
          </cell>
          <cell r="C168" t="str">
            <v>WATER TANKER 3000-4500 L.</v>
          </cell>
          <cell r="F168" t="str">
            <v>jam</v>
          </cell>
        </row>
        <row r="169">
          <cell r="A169" t="str">
            <v>2.</v>
          </cell>
          <cell r="C169" t="str">
            <v>-</v>
          </cell>
          <cell r="F169" t="str">
            <v>jam</v>
          </cell>
          <cell r="G169" t="str">
            <v xml:space="preserve">-  </v>
          </cell>
          <cell r="H169" t="str">
            <v xml:space="preserve">-   </v>
          </cell>
          <cell r="K169" t="str">
            <v>-</v>
          </cell>
        </row>
        <row r="177">
          <cell r="A177" t="str">
            <v>D.</v>
          </cell>
          <cell r="C177" t="str">
            <v>JUMLAH HARGA TENAGA, BAHAN DAN ALAT  ( A + B + C )</v>
          </cell>
        </row>
        <row r="178">
          <cell r="A178" t="str">
            <v>E.</v>
          </cell>
          <cell r="C178" t="str">
            <v>OVERHEAD &amp; PROFIT</v>
          </cell>
          <cell r="F178">
            <v>10</v>
          </cell>
          <cell r="G178" t="str">
            <v>%  x  D</v>
          </cell>
        </row>
        <row r="179">
          <cell r="A179" t="str">
            <v>F.</v>
          </cell>
          <cell r="C179" t="str">
            <v>HARGA SATUAN PEKERJAAN  ( D + E ) DIBULATKAN</v>
          </cell>
        </row>
        <row r="180">
          <cell r="A180" t="str">
            <v>Note: 1</v>
          </cell>
          <cell r="C180" t="str">
            <v>SATUAN dapat berdasarkan atas jam operasi untuk Tenaga Kerja dan Peralatan, volume dan/atau ukuran</v>
          </cell>
        </row>
        <row r="181">
          <cell r="C181" t="str">
            <v>berat untuk bahan-bahan.</v>
          </cell>
        </row>
        <row r="182">
          <cell r="A182">
            <v>2</v>
          </cell>
          <cell r="C182" t="str">
            <v>Kuantitas satuan adalah kuantitas setiap komponen untuk menyelesaikan satu satuan pekerjaan dari nomor</v>
          </cell>
        </row>
        <row r="183">
          <cell r="C183" t="str">
            <v>mata pembayaran.</v>
          </cell>
        </row>
        <row r="184">
          <cell r="A184">
            <v>3</v>
          </cell>
          <cell r="C184" t="str">
            <v>Biaya satuan untuk peralatan sudah termasuk bahan bakar, bahan habis dipakai dan operator.</v>
          </cell>
        </row>
        <row r="185">
          <cell r="A185">
            <v>4</v>
          </cell>
          <cell r="C185" t="str">
            <v>Biaya satuan sudah termasuk pengeluaran untuk seluruh pajak yang berkaitan (tetapi tidak termasuk PPN</v>
          </cell>
        </row>
        <row r="186">
          <cell r="C186" t="str">
            <v>yang dibayar dari kontrak) dan biaya-biaya lainnya.</v>
          </cell>
        </row>
        <row r="187">
          <cell r="J187" t="str">
            <v>Analisa EI-97</v>
          </cell>
        </row>
        <row r="189">
          <cell r="A189" t="str">
            <v>FORMULIR STANDAR UNTUK</v>
          </cell>
        </row>
        <row r="190">
          <cell r="A190" t="str">
            <v>PEREKAMAN ANALISA MASING-MASING HARGA SATUAN</v>
          </cell>
        </row>
        <row r="191">
          <cell r="A191">
            <v>0</v>
          </cell>
        </row>
        <row r="193">
          <cell r="A193" t="str">
            <v>Kegiatan</v>
          </cell>
          <cell r="D193" t="str">
            <v>: Pembangunan Jalan Dinas Bina Marga dan Cipta Karya Prov. NAD</v>
          </cell>
        </row>
        <row r="194">
          <cell r="A194" t="str">
            <v>Nama Paket</v>
          </cell>
          <cell r="D194" t="str">
            <v>: …………………………………………..</v>
          </cell>
        </row>
        <row r="195">
          <cell r="A195" t="str">
            <v>Nomor Paket</v>
          </cell>
          <cell r="D195" t="str">
            <v>: ……………………………………………</v>
          </cell>
        </row>
        <row r="196">
          <cell r="A196" t="str">
            <v>Tahun Anggaran</v>
          </cell>
          <cell r="D196" t="str">
            <v>: 2009</v>
          </cell>
        </row>
        <row r="197">
          <cell r="A197" t="str">
            <v>Prop / Kab / Kodya</v>
          </cell>
          <cell r="D197" t="str">
            <v>: .......................................................</v>
          </cell>
        </row>
        <row r="198">
          <cell r="A198" t="str">
            <v>ITEM PEMBAYARAN NO.</v>
          </cell>
          <cell r="D198" t="str">
            <v>:  9.1(7)</v>
          </cell>
          <cell r="H198" t="str">
            <v>PERKIRAAN VOL. PEK.</v>
          </cell>
          <cell r="J198" t="str">
            <v>:</v>
          </cell>
        </row>
        <row r="199">
          <cell r="A199" t="str">
            <v>JENIS PEKERJAAN</v>
          </cell>
          <cell r="D199" t="str">
            <v>:  PEKERJAAN HARIAN</v>
          </cell>
          <cell r="H199" t="str">
            <v>TOTAL HARGA (Rp.)</v>
          </cell>
          <cell r="J199" t="str">
            <v>:</v>
          </cell>
        </row>
        <row r="200">
          <cell r="E200" t="str">
            <v>BULLDOZER 100-150 HP</v>
          </cell>
          <cell r="H200" t="str">
            <v>% THD. BIAYA PROYEK</v>
          </cell>
          <cell r="J200" t="str">
            <v>:</v>
          </cell>
        </row>
        <row r="201">
          <cell r="A201" t="str">
            <v>SATUAN PEMBAYARAN</v>
          </cell>
          <cell r="D201" t="str">
            <v>:  JAM</v>
          </cell>
          <cell r="F201" t="str">
            <v>(E04)</v>
          </cell>
        </row>
        <row r="204">
          <cell r="G204" t="str">
            <v>PERKIRAAN</v>
          </cell>
          <cell r="H204" t="str">
            <v>HARGA</v>
          </cell>
          <cell r="I204" t="str">
            <v>JUMLAH</v>
          </cell>
        </row>
        <row r="205">
          <cell r="A205" t="str">
            <v>NO.</v>
          </cell>
          <cell r="C205" t="str">
            <v>KOMPONEN</v>
          </cell>
          <cell r="F205" t="str">
            <v>SATUAN</v>
          </cell>
          <cell r="G205" t="str">
            <v>KUANTITAS</v>
          </cell>
          <cell r="H205" t="str">
            <v>SATUAN</v>
          </cell>
          <cell r="I205" t="str">
            <v>HARGA</v>
          </cell>
        </row>
        <row r="206">
          <cell r="H206" t="str">
            <v>(Rp.)</v>
          </cell>
          <cell r="I206" t="str">
            <v>(Rp.)</v>
          </cell>
        </row>
        <row r="209">
          <cell r="A209" t="str">
            <v>A.</v>
          </cell>
          <cell r="C209" t="str">
            <v>PEKERJA</v>
          </cell>
        </row>
        <row r="211">
          <cell r="A211" t="str">
            <v>1.</v>
          </cell>
          <cell r="C211" t="str">
            <v>-</v>
          </cell>
          <cell r="G211" t="str">
            <v xml:space="preserve">-  </v>
          </cell>
          <cell r="H211" t="str">
            <v xml:space="preserve">-   </v>
          </cell>
          <cell r="K211" t="str">
            <v>-</v>
          </cell>
        </row>
        <row r="212">
          <cell r="A212" t="str">
            <v>2.</v>
          </cell>
          <cell r="C212" t="str">
            <v>-</v>
          </cell>
          <cell r="G212" t="str">
            <v xml:space="preserve">-  </v>
          </cell>
          <cell r="H212" t="str">
            <v xml:space="preserve">-   </v>
          </cell>
          <cell r="K212" t="str">
            <v>-</v>
          </cell>
        </row>
        <row r="217">
          <cell r="A217" t="str">
            <v>B.</v>
          </cell>
          <cell r="C217" t="str">
            <v>BAHAN</v>
          </cell>
        </row>
        <row r="219">
          <cell r="A219" t="str">
            <v>1.</v>
          </cell>
          <cell r="C219" t="str">
            <v>-</v>
          </cell>
          <cell r="G219" t="str">
            <v xml:space="preserve">-  </v>
          </cell>
          <cell r="H219" t="str">
            <v xml:space="preserve">-   </v>
          </cell>
          <cell r="K219" t="str">
            <v>-</v>
          </cell>
        </row>
        <row r="220">
          <cell r="A220" t="str">
            <v>2.</v>
          </cell>
          <cell r="C220" t="str">
            <v>-</v>
          </cell>
          <cell r="G220" t="str">
            <v xml:space="preserve">-  </v>
          </cell>
          <cell r="H220" t="str">
            <v xml:space="preserve">-   </v>
          </cell>
          <cell r="K220" t="str">
            <v>-</v>
          </cell>
        </row>
        <row r="228">
          <cell r="A228" t="str">
            <v>C.</v>
          </cell>
          <cell r="C228" t="str">
            <v>ALAT</v>
          </cell>
        </row>
        <row r="230">
          <cell r="A230" t="str">
            <v>1.</v>
          </cell>
          <cell r="C230" t="str">
            <v>BULLDOZER 100-150 HP</v>
          </cell>
          <cell r="F230" t="str">
            <v>jam</v>
          </cell>
        </row>
        <row r="231">
          <cell r="A231" t="str">
            <v>2.</v>
          </cell>
          <cell r="C231" t="str">
            <v>-</v>
          </cell>
          <cell r="F231" t="str">
            <v>jam</v>
          </cell>
          <cell r="G231" t="str">
            <v xml:space="preserve">-  </v>
          </cell>
          <cell r="H231" t="str">
            <v xml:space="preserve">-   </v>
          </cell>
          <cell r="K231" t="str">
            <v>-</v>
          </cell>
        </row>
        <row r="239">
          <cell r="A239" t="str">
            <v>D.</v>
          </cell>
          <cell r="C239" t="str">
            <v>JUMLAH HARGA TENAGA, BAHAN DAN ALAT  ( A + B + C )</v>
          </cell>
        </row>
        <row r="240">
          <cell r="A240" t="str">
            <v>E.</v>
          </cell>
          <cell r="C240" t="str">
            <v>OVERHEAD &amp; PROFIT</v>
          </cell>
          <cell r="F240">
            <v>10</v>
          </cell>
          <cell r="G240" t="str">
            <v>%  x  D</v>
          </cell>
        </row>
        <row r="241">
          <cell r="A241" t="str">
            <v>F.</v>
          </cell>
          <cell r="C241" t="str">
            <v>HARGA SATUAN PEKERJAAN  ( D + E ) DIBULATKAN</v>
          </cell>
        </row>
        <row r="242">
          <cell r="A242" t="str">
            <v>Note: 1</v>
          </cell>
          <cell r="C242" t="str">
            <v>SATUAN dapat berdasarkan atas jam operasi untuk Tenaga Kerja dan Peralatan, volume dan/atau ukuran</v>
          </cell>
        </row>
        <row r="243">
          <cell r="C243" t="str">
            <v>berat untuk bahan-bahan.</v>
          </cell>
        </row>
        <row r="244">
          <cell r="A244">
            <v>2</v>
          </cell>
          <cell r="C244" t="str">
            <v>Kuantitas satuan adalah kuantitas setiap komponen untuk menyelesaikan satu satuan pekerjaan dari nomor</v>
          </cell>
        </row>
        <row r="245">
          <cell r="C245" t="str">
            <v>mata pembayaran.</v>
          </cell>
        </row>
        <row r="246">
          <cell r="A246">
            <v>3</v>
          </cell>
          <cell r="C246" t="str">
            <v>Biaya satuan untuk peralatan sudah termasuk bahan bakar, bahan habis dipakai dan operator.</v>
          </cell>
        </row>
        <row r="247">
          <cell r="A247">
            <v>4</v>
          </cell>
          <cell r="C247" t="str">
            <v>Biaya satuan sudah termasuk pengeluaran untuk seluruh pajak yang berkaitan (tetapi tidak termasuk PPN</v>
          </cell>
        </row>
        <row r="248">
          <cell r="C248" t="str">
            <v>yang dibayar dari kontrak) dan biaya-biaya lainnya.</v>
          </cell>
        </row>
        <row r="249">
          <cell r="J249" t="str">
            <v>Analisa EI-98</v>
          </cell>
        </row>
        <row r="251">
          <cell r="A251" t="str">
            <v>FORMULIR STANDAR UNTUK</v>
          </cell>
        </row>
        <row r="252">
          <cell r="A252" t="str">
            <v>PEREKAMAN ANALISA MASING-MASING HARGA SATUAN</v>
          </cell>
        </row>
        <row r="253">
          <cell r="A253">
            <v>0</v>
          </cell>
        </row>
        <row r="255">
          <cell r="A255" t="str">
            <v>Kegiatan</v>
          </cell>
          <cell r="D255" t="str">
            <v>: Pembangunan Jalan Dinas Bina Marga dan Cipta Karya Prov. NAD</v>
          </cell>
        </row>
        <row r="256">
          <cell r="A256" t="str">
            <v>Nama Paket</v>
          </cell>
          <cell r="D256" t="str">
            <v>: …………………………………………..</v>
          </cell>
        </row>
        <row r="257">
          <cell r="A257" t="str">
            <v>Nomor Paket</v>
          </cell>
          <cell r="D257" t="str">
            <v>: ……………………………………………</v>
          </cell>
        </row>
        <row r="258">
          <cell r="A258" t="str">
            <v>Tahun Anggaran</v>
          </cell>
          <cell r="D258" t="str">
            <v>: 2009</v>
          </cell>
        </row>
        <row r="259">
          <cell r="A259" t="str">
            <v>Prop / Kab / Kodya</v>
          </cell>
          <cell r="D259" t="str">
            <v>: .......................................................</v>
          </cell>
        </row>
        <row r="260">
          <cell r="A260" t="str">
            <v>ITEM PEMBAYARAN NO.</v>
          </cell>
          <cell r="D260" t="str">
            <v>:  9.1(8)</v>
          </cell>
          <cell r="H260" t="str">
            <v>PERKIRAAN VOL. PEK.</v>
          </cell>
          <cell r="J260" t="str">
            <v>:</v>
          </cell>
        </row>
        <row r="261">
          <cell r="A261" t="str">
            <v>JENIS PEKERJAAN</v>
          </cell>
          <cell r="D261" t="str">
            <v>:  PEKERJAAN HARIAN</v>
          </cell>
          <cell r="H261" t="str">
            <v>TOTAL HARGA (Rp.)</v>
          </cell>
          <cell r="J261" t="str">
            <v>:</v>
          </cell>
        </row>
        <row r="262">
          <cell r="E262" t="str">
            <v>MOTOR GRADER &gt;100 HP</v>
          </cell>
          <cell r="H262" t="str">
            <v>% THD. BIAYA PROYEK</v>
          </cell>
          <cell r="J262" t="str">
            <v>:</v>
          </cell>
        </row>
        <row r="263">
          <cell r="A263" t="str">
            <v>SATUAN PEMBAYARAN</v>
          </cell>
          <cell r="D263" t="str">
            <v>:  JAM</v>
          </cell>
          <cell r="F263" t="str">
            <v>(E13)</v>
          </cell>
        </row>
        <row r="266">
          <cell r="G266" t="str">
            <v>PERKIRAAN</v>
          </cell>
          <cell r="H266" t="str">
            <v>HARGA</v>
          </cell>
          <cell r="I266" t="str">
            <v>JUMLAH</v>
          </cell>
        </row>
        <row r="267">
          <cell r="A267" t="str">
            <v>NO.</v>
          </cell>
          <cell r="C267" t="str">
            <v>KOMPONEN</v>
          </cell>
          <cell r="F267" t="str">
            <v>SATUAN</v>
          </cell>
          <cell r="G267" t="str">
            <v>KUANTITAS</v>
          </cell>
          <cell r="H267" t="str">
            <v>SATUAN</v>
          </cell>
          <cell r="I267" t="str">
            <v>HARGA</v>
          </cell>
        </row>
        <row r="268">
          <cell r="H268" t="str">
            <v>(Rp.)</v>
          </cell>
          <cell r="I268" t="str">
            <v>(Rp.)</v>
          </cell>
        </row>
        <row r="271">
          <cell r="A271" t="str">
            <v>A.</v>
          </cell>
          <cell r="C271" t="str">
            <v>PEKERJA</v>
          </cell>
        </row>
        <row r="273">
          <cell r="A273" t="str">
            <v>1.</v>
          </cell>
          <cell r="C273" t="str">
            <v>-</v>
          </cell>
          <cell r="G273" t="str">
            <v xml:space="preserve">-  </v>
          </cell>
          <cell r="H273" t="str">
            <v xml:space="preserve">-   </v>
          </cell>
          <cell r="K273" t="str">
            <v>-</v>
          </cell>
        </row>
        <row r="274">
          <cell r="A274" t="str">
            <v>2.</v>
          </cell>
          <cell r="C274" t="str">
            <v>-</v>
          </cell>
          <cell r="G274" t="str">
            <v xml:space="preserve">-  </v>
          </cell>
          <cell r="H274" t="str">
            <v xml:space="preserve">-   </v>
          </cell>
          <cell r="K274" t="str">
            <v>-</v>
          </cell>
        </row>
        <row r="279">
          <cell r="A279" t="str">
            <v>B.</v>
          </cell>
          <cell r="C279" t="str">
            <v>BAHAN</v>
          </cell>
        </row>
        <row r="281">
          <cell r="A281" t="str">
            <v>1.</v>
          </cell>
          <cell r="C281" t="str">
            <v>-</v>
          </cell>
          <cell r="G281" t="str">
            <v xml:space="preserve">-  </v>
          </cell>
          <cell r="H281" t="str">
            <v xml:space="preserve">-   </v>
          </cell>
          <cell r="K281" t="str">
            <v>-</v>
          </cell>
        </row>
        <row r="282">
          <cell r="A282" t="str">
            <v>2.</v>
          </cell>
          <cell r="C282" t="str">
            <v>-</v>
          </cell>
          <cell r="G282" t="str">
            <v xml:space="preserve">-  </v>
          </cell>
          <cell r="H282" t="str">
            <v xml:space="preserve">-   </v>
          </cell>
          <cell r="K282" t="str">
            <v>-</v>
          </cell>
        </row>
        <row r="290">
          <cell r="A290" t="str">
            <v>C.</v>
          </cell>
          <cell r="C290" t="str">
            <v>ALAT</v>
          </cell>
        </row>
        <row r="292">
          <cell r="A292" t="str">
            <v>1.</v>
          </cell>
          <cell r="C292" t="str">
            <v>MOTOR GRADER &gt;100 HP</v>
          </cell>
          <cell r="F292" t="str">
            <v>jam</v>
          </cell>
        </row>
        <row r="293">
          <cell r="A293" t="str">
            <v>2.</v>
          </cell>
          <cell r="C293" t="str">
            <v>-</v>
          </cell>
          <cell r="F293" t="str">
            <v>jam</v>
          </cell>
          <cell r="G293" t="str">
            <v xml:space="preserve">-  </v>
          </cell>
          <cell r="H293" t="str">
            <v xml:space="preserve">-   </v>
          </cell>
          <cell r="K293" t="str">
            <v>-</v>
          </cell>
        </row>
        <row r="301">
          <cell r="A301" t="str">
            <v>D.</v>
          </cell>
          <cell r="C301" t="str">
            <v>JUMLAH HARGA TENAGA, BAHAN DAN ALAT  ( A + B + C )</v>
          </cell>
        </row>
        <row r="302">
          <cell r="A302" t="str">
            <v>E.</v>
          </cell>
          <cell r="C302" t="str">
            <v>OVERHEAD &amp; PROFIT</v>
          </cell>
          <cell r="F302">
            <v>10</v>
          </cell>
          <cell r="G302" t="str">
            <v>%  x  D</v>
          </cell>
        </row>
        <row r="303">
          <cell r="A303" t="str">
            <v>F.</v>
          </cell>
          <cell r="C303" t="str">
            <v>HARGA SATUAN PEKERJAAN  ( D + E ) DIBULATKAN</v>
          </cell>
        </row>
        <row r="304">
          <cell r="A304" t="str">
            <v>Note: 1</v>
          </cell>
          <cell r="C304" t="str">
            <v>SATUAN dapat berdasarkan atas jam operasi untuk Tenaga Kerja dan Peralatan, volume dan/atau ukuran</v>
          </cell>
        </row>
        <row r="305">
          <cell r="C305" t="str">
            <v>berat untuk bahan-bahan.</v>
          </cell>
        </row>
        <row r="306">
          <cell r="A306">
            <v>2</v>
          </cell>
          <cell r="C306" t="str">
            <v>Kuantitas satuan adalah kuantitas setiap komponen untuk menyelesaikan satu satuan pekerjaan dari nomor</v>
          </cell>
        </row>
        <row r="307">
          <cell r="C307" t="str">
            <v>mata pembayaran.</v>
          </cell>
        </row>
        <row r="308">
          <cell r="A308">
            <v>3</v>
          </cell>
          <cell r="C308" t="str">
            <v>Biaya satuan untuk peralatan sudah termasuk bahan bakar, bahan habis dipakai dan operator.</v>
          </cell>
        </row>
        <row r="309">
          <cell r="A309">
            <v>4</v>
          </cell>
          <cell r="C309" t="str">
            <v>Biaya satuan sudah termasuk pengeluaran untuk seluruh pajak yang berkaitan (tetapi tidak termasuk PPN</v>
          </cell>
        </row>
        <row r="310">
          <cell r="C310" t="str">
            <v>yang dibayar dari kontrak) dan biaya-biaya lainnya.</v>
          </cell>
        </row>
        <row r="311">
          <cell r="J311" t="str">
            <v>Analisa EI-99</v>
          </cell>
        </row>
        <row r="313">
          <cell r="A313" t="str">
            <v>FORMULIR STANDAR UNTUK</v>
          </cell>
        </row>
        <row r="314">
          <cell r="A314" t="str">
            <v>PEREKAMAN ANALISA MASING-MASING HARGA SATUAN</v>
          </cell>
        </row>
        <row r="315">
          <cell r="A315">
            <v>0</v>
          </cell>
        </row>
        <row r="317">
          <cell r="A317" t="str">
            <v>Kegiatan</v>
          </cell>
          <cell r="D317" t="str">
            <v>: Pembangunan Jalan Dinas Bina Marga dan Cipta Karya Prov. NAD</v>
          </cell>
        </row>
        <row r="318">
          <cell r="A318" t="str">
            <v>Nama Paket</v>
          </cell>
          <cell r="D318" t="str">
            <v>: …………………………………………..</v>
          </cell>
        </row>
        <row r="319">
          <cell r="A319" t="str">
            <v>Nomor Paket</v>
          </cell>
          <cell r="D319" t="str">
            <v>: ……………………………………………</v>
          </cell>
        </row>
        <row r="320">
          <cell r="A320" t="str">
            <v>Tahun Anggaran</v>
          </cell>
          <cell r="D320" t="str">
            <v>: 2009</v>
          </cell>
        </row>
        <row r="321">
          <cell r="A321" t="str">
            <v>Prop / Kab / Kodya</v>
          </cell>
          <cell r="D321" t="str">
            <v>: .......................................................</v>
          </cell>
        </row>
        <row r="322">
          <cell r="A322" t="str">
            <v>ITEM PEMBAYARAN NO.</v>
          </cell>
          <cell r="D322" t="str">
            <v>:  9.1(9)</v>
          </cell>
          <cell r="H322" t="str">
            <v>PERKIRAAN VOL. PEK.</v>
          </cell>
          <cell r="J322" t="str">
            <v>:</v>
          </cell>
        </row>
        <row r="323">
          <cell r="A323" t="str">
            <v>JENIS PEKERJAAN</v>
          </cell>
          <cell r="D323" t="str">
            <v>:  PEKERJAAN HARIAN</v>
          </cell>
          <cell r="H323" t="str">
            <v>TOTAL HARGA (Rp.)</v>
          </cell>
          <cell r="J323" t="str">
            <v>:</v>
          </cell>
        </row>
        <row r="324">
          <cell r="E324" t="str">
            <v>WHEEL LOADER 1.0-1.6 M3</v>
          </cell>
          <cell r="H324" t="str">
            <v>% THD. BIAYA PROYEK</v>
          </cell>
          <cell r="J324" t="str">
            <v>:</v>
          </cell>
        </row>
        <row r="325">
          <cell r="A325" t="str">
            <v>SATUAN PEMBAYARAN</v>
          </cell>
          <cell r="D325" t="str">
            <v>:  JAM</v>
          </cell>
          <cell r="F325" t="str">
            <v>(E15)</v>
          </cell>
        </row>
        <row r="328">
          <cell r="G328" t="str">
            <v>PERKIRAAN</v>
          </cell>
          <cell r="H328" t="str">
            <v>HARGA</v>
          </cell>
          <cell r="I328" t="str">
            <v>JUMLAH</v>
          </cell>
        </row>
        <row r="329">
          <cell r="A329" t="str">
            <v>NO.</v>
          </cell>
          <cell r="C329" t="str">
            <v>KOMPONEN</v>
          </cell>
          <cell r="F329" t="str">
            <v>SATUAN</v>
          </cell>
          <cell r="G329" t="str">
            <v>KUANTITAS</v>
          </cell>
          <cell r="H329" t="str">
            <v>SATUAN</v>
          </cell>
          <cell r="I329" t="str">
            <v>HARGA</v>
          </cell>
        </row>
        <row r="330">
          <cell r="H330" t="str">
            <v>(Rp.)</v>
          </cell>
          <cell r="I330" t="str">
            <v>(Rp.)</v>
          </cell>
        </row>
        <row r="333">
          <cell r="A333" t="str">
            <v>A.</v>
          </cell>
          <cell r="C333" t="str">
            <v>PEKERJA</v>
          </cell>
        </row>
        <row r="335">
          <cell r="A335" t="str">
            <v>1.</v>
          </cell>
          <cell r="C335" t="str">
            <v>-</v>
          </cell>
          <cell r="G335" t="str">
            <v xml:space="preserve">-  </v>
          </cell>
          <cell r="H335" t="str">
            <v xml:space="preserve">-   </v>
          </cell>
          <cell r="K335" t="str">
            <v>-</v>
          </cell>
        </row>
        <row r="336">
          <cell r="A336" t="str">
            <v>2.</v>
          </cell>
          <cell r="C336" t="str">
            <v>-</v>
          </cell>
          <cell r="G336" t="str">
            <v xml:space="preserve">-  </v>
          </cell>
          <cell r="H336" t="str">
            <v xml:space="preserve">-   </v>
          </cell>
          <cell r="K336" t="str">
            <v>-</v>
          </cell>
        </row>
        <row r="341">
          <cell r="A341" t="str">
            <v>B.</v>
          </cell>
          <cell r="C341" t="str">
            <v>BAHAN</v>
          </cell>
        </row>
        <row r="343">
          <cell r="A343" t="str">
            <v>1.</v>
          </cell>
          <cell r="C343" t="str">
            <v>-</v>
          </cell>
          <cell r="G343" t="str">
            <v xml:space="preserve">-  </v>
          </cell>
          <cell r="H343" t="str">
            <v xml:space="preserve">-   </v>
          </cell>
          <cell r="K343" t="str">
            <v>-</v>
          </cell>
        </row>
        <row r="344">
          <cell r="A344" t="str">
            <v>2.</v>
          </cell>
          <cell r="C344" t="str">
            <v>-</v>
          </cell>
          <cell r="G344" t="str">
            <v xml:space="preserve">-  </v>
          </cell>
          <cell r="H344" t="str">
            <v xml:space="preserve">-   </v>
          </cell>
          <cell r="K344" t="str">
            <v>-</v>
          </cell>
        </row>
        <row r="352">
          <cell r="A352" t="str">
            <v>C.</v>
          </cell>
          <cell r="C352" t="str">
            <v>ALAT</v>
          </cell>
        </row>
        <row r="354">
          <cell r="A354" t="str">
            <v>1.</v>
          </cell>
          <cell r="C354" t="str">
            <v>WHEEL LOADER 1.0-1.6 M3</v>
          </cell>
          <cell r="F354" t="str">
            <v>jam</v>
          </cell>
        </row>
        <row r="355">
          <cell r="A355" t="str">
            <v>2.</v>
          </cell>
          <cell r="C355" t="str">
            <v>-</v>
          </cell>
          <cell r="F355" t="str">
            <v>jam</v>
          </cell>
          <cell r="G355" t="str">
            <v xml:space="preserve">-  </v>
          </cell>
          <cell r="H355" t="str">
            <v xml:space="preserve">-   </v>
          </cell>
          <cell r="K355" t="str">
            <v>-</v>
          </cell>
        </row>
        <row r="363">
          <cell r="A363" t="str">
            <v>D.</v>
          </cell>
          <cell r="C363" t="str">
            <v>JUMLAH HARGA TENAGA, BAHAN DAN ALAT  ( A + B + C )</v>
          </cell>
        </row>
        <row r="364">
          <cell r="A364" t="str">
            <v>E.</v>
          </cell>
          <cell r="C364" t="str">
            <v>OVERHEAD &amp; PROFIT</v>
          </cell>
          <cell r="F364">
            <v>10</v>
          </cell>
          <cell r="G364" t="str">
            <v>%  x  D</v>
          </cell>
        </row>
        <row r="365">
          <cell r="A365" t="str">
            <v>F.</v>
          </cell>
          <cell r="C365" t="str">
            <v>HARGA SATUAN PEKERJAAN  ( D + E ) DIBULATKAN</v>
          </cell>
        </row>
        <row r="366">
          <cell r="A366" t="str">
            <v>Note: 1</v>
          </cell>
          <cell r="C366" t="str">
            <v>SATUAN dapat berdasarkan atas jam operasi untuk Tenaga Kerja dan Peralatan, volume dan/atau ukuran</v>
          </cell>
        </row>
        <row r="367">
          <cell r="C367" t="str">
            <v>berat untuk bahan-bahan.</v>
          </cell>
        </row>
        <row r="368">
          <cell r="A368">
            <v>2</v>
          </cell>
          <cell r="C368" t="str">
            <v>Kuantitas satuan adalah kuantitas setiap komponen untuk menyelesaikan satu satuan pekerjaan dari nomor</v>
          </cell>
        </row>
        <row r="369">
          <cell r="C369" t="str">
            <v>mata pembayaran.</v>
          </cell>
        </row>
        <row r="370">
          <cell r="A370">
            <v>3</v>
          </cell>
          <cell r="C370" t="str">
            <v>Biaya satuan untuk peralatan sudah termasuk bahan bakar, bahan habis dipakai dan operator.</v>
          </cell>
        </row>
        <row r="371">
          <cell r="A371">
            <v>4</v>
          </cell>
          <cell r="C371" t="str">
            <v>Biaya satuan sudah termasuk pengeluaran untuk seluruh pajak yang berkaitan (tetapi tidak termasuk PPN</v>
          </cell>
        </row>
        <row r="372">
          <cell r="C372" t="str">
            <v>yang dibayar dari kontrak) dan biaya-biaya lainnya.</v>
          </cell>
        </row>
        <row r="373">
          <cell r="J373" t="str">
            <v>Analisa EI-910</v>
          </cell>
        </row>
        <row r="375">
          <cell r="A375" t="str">
            <v>FORMULIR STANDAR UNTUK</v>
          </cell>
        </row>
        <row r="376">
          <cell r="A376" t="str">
            <v>PEREKAMAN ANALISA MASING-MASING HARGA SATUAN</v>
          </cell>
        </row>
        <row r="377">
          <cell r="A377">
            <v>0</v>
          </cell>
        </row>
        <row r="379">
          <cell r="A379" t="str">
            <v>Kegiatan</v>
          </cell>
          <cell r="D379" t="str">
            <v>: Pembangunan Jalan Dinas Bina Marga dan Cipta Karya Prov. NAD</v>
          </cell>
        </row>
        <row r="380">
          <cell r="A380" t="str">
            <v>Nama Paket</v>
          </cell>
          <cell r="D380" t="str">
            <v>: …………………………………………..</v>
          </cell>
        </row>
        <row r="381">
          <cell r="A381" t="str">
            <v>Nomor Paket</v>
          </cell>
          <cell r="D381" t="str">
            <v>: ……………………………………………</v>
          </cell>
        </row>
        <row r="382">
          <cell r="A382" t="str">
            <v>Tahun Anggaran</v>
          </cell>
          <cell r="D382" t="str">
            <v>: 2009</v>
          </cell>
        </row>
        <row r="383">
          <cell r="A383" t="str">
            <v>Prop / Kab / Kodya</v>
          </cell>
          <cell r="D383" t="str">
            <v>: .......................................................</v>
          </cell>
        </row>
        <row r="384">
          <cell r="A384" t="str">
            <v>ITEM PEMBAYARAN NO.</v>
          </cell>
          <cell r="D384" t="str">
            <v>:  9.1(10)</v>
          </cell>
          <cell r="H384" t="str">
            <v>PERKIRAAN VOL. PEK.</v>
          </cell>
          <cell r="J384" t="str">
            <v>:</v>
          </cell>
        </row>
        <row r="385">
          <cell r="A385" t="str">
            <v>JENIS PEKERJAAN</v>
          </cell>
          <cell r="D385" t="str">
            <v>:  PEKERJAAN HARIAN</v>
          </cell>
          <cell r="H385" t="str">
            <v>TOTAL HARGA (Rp.)</v>
          </cell>
          <cell r="J385" t="str">
            <v>:</v>
          </cell>
        </row>
        <row r="386">
          <cell r="E386" t="str">
            <v>TRACK LOADER 75-100 HP</v>
          </cell>
          <cell r="H386" t="str">
            <v>% THD. BIAYA PROYEK</v>
          </cell>
          <cell r="J386" t="str">
            <v>:</v>
          </cell>
        </row>
        <row r="387">
          <cell r="A387" t="str">
            <v>SATUAN PEMBAYARAN</v>
          </cell>
          <cell r="D387" t="str">
            <v>:  JAM</v>
          </cell>
          <cell r="F387" t="str">
            <v>(E14)</v>
          </cell>
        </row>
        <row r="390">
          <cell r="G390" t="str">
            <v>PERKIRAAN</v>
          </cell>
          <cell r="H390" t="str">
            <v>HARGA</v>
          </cell>
          <cell r="I390" t="str">
            <v>JUMLAH</v>
          </cell>
        </row>
        <row r="391">
          <cell r="A391" t="str">
            <v>NO.</v>
          </cell>
          <cell r="C391" t="str">
            <v>KOMPONEN</v>
          </cell>
          <cell r="F391" t="str">
            <v>SATUAN</v>
          </cell>
          <cell r="G391" t="str">
            <v>KUANTITAS</v>
          </cell>
          <cell r="H391" t="str">
            <v>SATUAN</v>
          </cell>
          <cell r="I391" t="str">
            <v>HARGA</v>
          </cell>
        </row>
        <row r="392">
          <cell r="H392" t="str">
            <v>(Rp.)</v>
          </cell>
          <cell r="I392" t="str">
            <v>(Rp.)</v>
          </cell>
        </row>
        <row r="395">
          <cell r="A395" t="str">
            <v>A.</v>
          </cell>
          <cell r="C395" t="str">
            <v>PEKERJA</v>
          </cell>
        </row>
        <row r="397">
          <cell r="A397" t="str">
            <v>1.</v>
          </cell>
          <cell r="C397" t="str">
            <v>-</v>
          </cell>
          <cell r="G397" t="str">
            <v xml:space="preserve">-  </v>
          </cell>
          <cell r="H397" t="str">
            <v xml:space="preserve">-   </v>
          </cell>
          <cell r="K397" t="str">
            <v>-</v>
          </cell>
        </row>
        <row r="398">
          <cell r="A398" t="str">
            <v>2.</v>
          </cell>
          <cell r="C398" t="str">
            <v>-</v>
          </cell>
          <cell r="G398" t="str">
            <v xml:space="preserve">-  </v>
          </cell>
          <cell r="H398" t="str">
            <v xml:space="preserve">-   </v>
          </cell>
          <cell r="K398" t="str">
            <v>-</v>
          </cell>
        </row>
        <row r="403">
          <cell r="A403" t="str">
            <v>B.</v>
          </cell>
          <cell r="C403" t="str">
            <v>BAHAN</v>
          </cell>
        </row>
        <row r="405">
          <cell r="A405" t="str">
            <v>1.</v>
          </cell>
          <cell r="C405" t="str">
            <v>-</v>
          </cell>
          <cell r="G405" t="str">
            <v xml:space="preserve">-  </v>
          </cell>
          <cell r="H405" t="str">
            <v xml:space="preserve">-   </v>
          </cell>
          <cell r="K405" t="str">
            <v>-</v>
          </cell>
        </row>
        <row r="406">
          <cell r="A406" t="str">
            <v>2.</v>
          </cell>
          <cell r="C406" t="str">
            <v>-</v>
          </cell>
          <cell r="G406" t="str">
            <v xml:space="preserve">-  </v>
          </cell>
          <cell r="H406" t="str">
            <v xml:space="preserve">-   </v>
          </cell>
          <cell r="K406" t="str">
            <v>-</v>
          </cell>
        </row>
        <row r="414">
          <cell r="A414" t="str">
            <v>C.</v>
          </cell>
          <cell r="C414" t="str">
            <v>ALAT</v>
          </cell>
        </row>
        <row r="416">
          <cell r="A416" t="str">
            <v>1.</v>
          </cell>
          <cell r="C416" t="str">
            <v>TRACK LOADER 75-100 HP</v>
          </cell>
          <cell r="F416" t="str">
            <v>jam</v>
          </cell>
        </row>
        <row r="417">
          <cell r="A417" t="str">
            <v>2.</v>
          </cell>
          <cell r="C417" t="str">
            <v>-</v>
          </cell>
          <cell r="F417" t="str">
            <v>jam</v>
          </cell>
          <cell r="G417" t="str">
            <v xml:space="preserve">-  </v>
          </cell>
          <cell r="H417" t="str">
            <v xml:space="preserve">-   </v>
          </cell>
          <cell r="K417" t="str">
            <v>-</v>
          </cell>
        </row>
        <row r="425">
          <cell r="A425" t="str">
            <v>D.</v>
          </cell>
          <cell r="C425" t="str">
            <v>JUMLAH HARGA TENAGA, BAHAN DAN ALAT  ( A + B + C )</v>
          </cell>
        </row>
        <row r="426">
          <cell r="A426" t="str">
            <v>E.</v>
          </cell>
          <cell r="C426" t="str">
            <v>OVERHEAD &amp; PROFIT</v>
          </cell>
          <cell r="F426">
            <v>10</v>
          </cell>
          <cell r="G426" t="str">
            <v>%  x  D</v>
          </cell>
        </row>
        <row r="427">
          <cell r="A427" t="str">
            <v>F.</v>
          </cell>
          <cell r="C427" t="str">
            <v>HARGA SATUAN PEKERJAAN  ( D + E ) DIBULATKAN</v>
          </cell>
        </row>
        <row r="428">
          <cell r="A428" t="str">
            <v>Note: 1</v>
          </cell>
          <cell r="C428" t="str">
            <v>SATUAN dapat berdasarkan atas jam operasi untuk Tenaga Kerja dan Peralatan, volume dan/atau ukuran</v>
          </cell>
        </row>
        <row r="429">
          <cell r="C429" t="str">
            <v>berat untuk bahan-bahan.</v>
          </cell>
        </row>
        <row r="430">
          <cell r="A430">
            <v>2</v>
          </cell>
          <cell r="C430" t="str">
            <v>Kuantitas satuan adalah kuantitas setiap komponen untuk menyelesaikan satu satuan pekerjaan dari nomor</v>
          </cell>
        </row>
        <row r="431">
          <cell r="C431" t="str">
            <v>mata pembayaran.</v>
          </cell>
        </row>
        <row r="432">
          <cell r="A432">
            <v>3</v>
          </cell>
          <cell r="C432" t="str">
            <v>Biaya satuan untuk peralatan sudah termasuk bahan bakar, bahan habis dipakai dan operator.</v>
          </cell>
        </row>
        <row r="433">
          <cell r="A433">
            <v>4</v>
          </cell>
          <cell r="C433" t="str">
            <v>Biaya satuan sudah termasuk pengeluaran untuk seluruh pajak yang berkaitan (tetapi tidak termasuk PPN</v>
          </cell>
        </row>
        <row r="434">
          <cell r="C434" t="str">
            <v>yang dibayar dari kontrak) dan biaya-biaya lainnya.</v>
          </cell>
        </row>
        <row r="435">
          <cell r="J435" t="str">
            <v>Analisa EI-911</v>
          </cell>
        </row>
        <row r="437">
          <cell r="A437" t="str">
            <v>FORMULIR STANDAR UNTUK</v>
          </cell>
        </row>
        <row r="438">
          <cell r="A438" t="str">
            <v>PEREKAMAN ANALISA MASING-MASING HARGA SATUAN</v>
          </cell>
        </row>
        <row r="439">
          <cell r="A439">
            <v>0</v>
          </cell>
        </row>
        <row r="441">
          <cell r="A441" t="str">
            <v>Kegiatan</v>
          </cell>
          <cell r="D441" t="str">
            <v>: Pembangunan Jalan Dinas Bina Marga dan Cipta Karya Prov. NAD</v>
          </cell>
        </row>
        <row r="442">
          <cell r="A442" t="str">
            <v>Nama Paket</v>
          </cell>
          <cell r="D442" t="str">
            <v>: …………………………………………..</v>
          </cell>
        </row>
        <row r="443">
          <cell r="A443" t="str">
            <v>Nomor Paket</v>
          </cell>
          <cell r="D443" t="str">
            <v>: ……………………………………………</v>
          </cell>
        </row>
        <row r="444">
          <cell r="A444" t="str">
            <v>Tahun Anggaran</v>
          </cell>
          <cell r="D444" t="str">
            <v>: 2009</v>
          </cell>
        </row>
        <row r="445">
          <cell r="A445" t="str">
            <v>Prop / Kab / Kodya</v>
          </cell>
          <cell r="D445" t="str">
            <v>: .......................................................</v>
          </cell>
        </row>
        <row r="446">
          <cell r="A446" t="str">
            <v>ITEM PEMBAYARAN NO.</v>
          </cell>
          <cell r="D446" t="str">
            <v>:  9.1(11)</v>
          </cell>
          <cell r="H446" t="str">
            <v>PERKIRAAN VOL. PEK.</v>
          </cell>
          <cell r="J446" t="str">
            <v>:</v>
          </cell>
        </row>
        <row r="447">
          <cell r="A447" t="str">
            <v>JENIS PEKERJAAN</v>
          </cell>
          <cell r="D447" t="str">
            <v>:  PEKERJAAN HARIAN</v>
          </cell>
          <cell r="H447" t="str">
            <v>TOTAL HARGA (Rp.)</v>
          </cell>
          <cell r="J447" t="str">
            <v>:</v>
          </cell>
        </row>
        <row r="448">
          <cell r="E448" t="str">
            <v>EXCAVATOR 80-140 HP</v>
          </cell>
          <cell r="H448" t="str">
            <v>% THD. BIAYA PROYEK</v>
          </cell>
          <cell r="J448" t="str">
            <v>:</v>
          </cell>
        </row>
        <row r="449">
          <cell r="A449" t="str">
            <v>SATUAN PEMBAYARAN</v>
          </cell>
          <cell r="D449" t="str">
            <v>:  JAM</v>
          </cell>
          <cell r="F449" t="str">
            <v>(E10)</v>
          </cell>
        </row>
        <row r="452">
          <cell r="G452" t="str">
            <v>PERKIRAAN</v>
          </cell>
          <cell r="H452" t="str">
            <v>HARGA</v>
          </cell>
          <cell r="I452" t="str">
            <v>JUMLAH</v>
          </cell>
        </row>
        <row r="453">
          <cell r="A453" t="str">
            <v>NO.</v>
          </cell>
          <cell r="C453" t="str">
            <v>KOMPONEN</v>
          </cell>
          <cell r="F453" t="str">
            <v>SATUAN</v>
          </cell>
          <cell r="G453" t="str">
            <v>KUANTITAS</v>
          </cell>
          <cell r="H453" t="str">
            <v>SATUAN</v>
          </cell>
          <cell r="I453" t="str">
            <v>HARGA</v>
          </cell>
        </row>
        <row r="454">
          <cell r="H454" t="str">
            <v>(Rp.)</v>
          </cell>
          <cell r="I454" t="str">
            <v>(Rp.)</v>
          </cell>
        </row>
        <row r="457">
          <cell r="A457" t="str">
            <v>A.</v>
          </cell>
          <cell r="C457" t="str">
            <v>PEKERJA</v>
          </cell>
        </row>
        <row r="459">
          <cell r="A459" t="str">
            <v>1.</v>
          </cell>
          <cell r="C459" t="str">
            <v>-</v>
          </cell>
          <cell r="G459" t="str">
            <v xml:space="preserve">-  </v>
          </cell>
          <cell r="H459" t="str">
            <v xml:space="preserve">-   </v>
          </cell>
          <cell r="K459" t="str">
            <v>-</v>
          </cell>
        </row>
        <row r="460">
          <cell r="A460" t="str">
            <v>2.</v>
          </cell>
          <cell r="C460" t="str">
            <v>-</v>
          </cell>
          <cell r="G460" t="str">
            <v xml:space="preserve">-  </v>
          </cell>
          <cell r="H460" t="str">
            <v xml:space="preserve">-   </v>
          </cell>
          <cell r="K460" t="str">
            <v>-</v>
          </cell>
        </row>
        <row r="465">
          <cell r="A465" t="str">
            <v>B.</v>
          </cell>
          <cell r="C465" t="str">
            <v>BAHAN</v>
          </cell>
        </row>
        <row r="467">
          <cell r="A467" t="str">
            <v>1.</v>
          </cell>
          <cell r="C467" t="str">
            <v>-</v>
          </cell>
          <cell r="G467" t="str">
            <v xml:space="preserve">-  </v>
          </cell>
          <cell r="H467" t="str">
            <v xml:space="preserve">-   </v>
          </cell>
          <cell r="K467" t="str">
            <v>-</v>
          </cell>
        </row>
        <row r="468">
          <cell r="A468" t="str">
            <v>2.</v>
          </cell>
          <cell r="C468" t="str">
            <v>-</v>
          </cell>
          <cell r="G468" t="str">
            <v xml:space="preserve">-  </v>
          </cell>
          <cell r="H468" t="str">
            <v xml:space="preserve">-   </v>
          </cell>
          <cell r="K468" t="str">
            <v>-</v>
          </cell>
        </row>
        <row r="476">
          <cell r="A476" t="str">
            <v>C.</v>
          </cell>
          <cell r="C476" t="str">
            <v>ALAT</v>
          </cell>
        </row>
        <row r="478">
          <cell r="A478" t="str">
            <v>1.</v>
          </cell>
          <cell r="C478" t="str">
            <v>EXCAVATOR 80-140 HP</v>
          </cell>
          <cell r="F478" t="str">
            <v>jam</v>
          </cell>
        </row>
        <row r="479">
          <cell r="A479" t="str">
            <v>2.</v>
          </cell>
          <cell r="C479" t="str">
            <v>-</v>
          </cell>
          <cell r="F479" t="str">
            <v>jam</v>
          </cell>
          <cell r="G479" t="str">
            <v xml:space="preserve">-  </v>
          </cell>
          <cell r="H479" t="str">
            <v xml:space="preserve">-   </v>
          </cell>
          <cell r="K479" t="str">
            <v>-</v>
          </cell>
        </row>
        <row r="487">
          <cell r="A487" t="str">
            <v>D.</v>
          </cell>
          <cell r="C487" t="str">
            <v>JUMLAH HARGA TENAGA, BAHAN DAN ALAT  ( A + B + C )</v>
          </cell>
        </row>
        <row r="488">
          <cell r="A488" t="str">
            <v>E.</v>
          </cell>
          <cell r="C488" t="str">
            <v>OVERHEAD &amp; PROFIT</v>
          </cell>
          <cell r="F488">
            <v>10</v>
          </cell>
          <cell r="G488" t="str">
            <v>%  x  D</v>
          </cell>
        </row>
        <row r="489">
          <cell r="A489" t="str">
            <v>F.</v>
          </cell>
          <cell r="C489" t="str">
            <v>HARGA SATUAN PEKERJAAN  ( D + E ) DIBULATKAN</v>
          </cell>
        </row>
        <row r="490">
          <cell r="A490" t="str">
            <v>Note: 1</v>
          </cell>
          <cell r="C490" t="str">
            <v>SATUAN dapat berdasarkan atas jam operasi untuk Tenaga Kerja dan Peralatan, volume dan/atau ukuran</v>
          </cell>
        </row>
        <row r="491">
          <cell r="C491" t="str">
            <v>berat untuk bahan-bahan.</v>
          </cell>
        </row>
        <row r="492">
          <cell r="A492">
            <v>2</v>
          </cell>
          <cell r="C492" t="str">
            <v>Kuantitas satuan adalah kuantitas setiap komponen untuk menyelesaikan satu satuan pekerjaan dari nomor</v>
          </cell>
        </row>
        <row r="493">
          <cell r="C493" t="str">
            <v>mata pembayaran.</v>
          </cell>
        </row>
        <row r="494">
          <cell r="A494">
            <v>3</v>
          </cell>
          <cell r="C494" t="str">
            <v>Biaya satuan untuk peralatan sudah termasuk bahan bakar, bahan habis dipakai dan operator.</v>
          </cell>
        </row>
        <row r="495">
          <cell r="A495">
            <v>4</v>
          </cell>
          <cell r="C495" t="str">
            <v>Biaya satuan sudah termasuk pengeluaran untuk seluruh pajak yang berkaitan (tetapi tidak termasuk PPN</v>
          </cell>
        </row>
        <row r="496">
          <cell r="C496" t="str">
            <v>yang dibayar dari kontrak) dan biaya-biaya lainnya.</v>
          </cell>
        </row>
        <row r="497">
          <cell r="J497" t="str">
            <v>Analisa EI-912</v>
          </cell>
        </row>
        <row r="499">
          <cell r="A499" t="str">
            <v>FORMULIR STANDAR UNTUK</v>
          </cell>
        </row>
        <row r="500">
          <cell r="A500" t="str">
            <v>PEREKAMAN ANALISA MASING-MASING HARGA SATUAN</v>
          </cell>
        </row>
        <row r="501">
          <cell r="A501">
            <v>0</v>
          </cell>
        </row>
        <row r="503">
          <cell r="A503" t="str">
            <v>Kegiatan</v>
          </cell>
          <cell r="D503" t="str">
            <v>: Pembangunan Jalan Dinas Bina Marga dan Cipta Karya Prov. NAD</v>
          </cell>
        </row>
        <row r="504">
          <cell r="A504" t="str">
            <v>Nama Paket</v>
          </cell>
          <cell r="D504" t="str">
            <v>: …………………………………………..</v>
          </cell>
        </row>
        <row r="505">
          <cell r="A505" t="str">
            <v>Nomor Paket</v>
          </cell>
          <cell r="D505" t="str">
            <v>: ……………………………………………</v>
          </cell>
        </row>
        <row r="506">
          <cell r="A506" t="str">
            <v>Tahun Anggaran</v>
          </cell>
          <cell r="D506" t="str">
            <v>: 2009</v>
          </cell>
        </row>
        <row r="507">
          <cell r="A507" t="str">
            <v>Prop / Kab / Kodya</v>
          </cell>
          <cell r="D507" t="str">
            <v>: .......................................................</v>
          </cell>
        </row>
        <row r="508">
          <cell r="A508" t="str">
            <v>ITEM PEMBAYARAN NO.</v>
          </cell>
          <cell r="D508" t="str">
            <v>:  9.1(12)</v>
          </cell>
          <cell r="H508" t="str">
            <v>PERKIRAAN VOL. PEK.</v>
          </cell>
          <cell r="J508" t="str">
            <v>:</v>
          </cell>
        </row>
        <row r="509">
          <cell r="A509" t="str">
            <v>JENIS PEKERJAAN</v>
          </cell>
          <cell r="D509" t="str">
            <v>:  PEKERJAAN HARIAN</v>
          </cell>
          <cell r="H509" t="str">
            <v>TOTAL HARGA (Rp.)</v>
          </cell>
          <cell r="J509" t="str">
            <v>:</v>
          </cell>
        </row>
        <row r="510">
          <cell r="E510" t="str">
            <v>CRANE 10-15 TON</v>
          </cell>
          <cell r="H510" t="str">
            <v>% THD. BIAYA PROYEK</v>
          </cell>
          <cell r="J510" t="str">
            <v>:</v>
          </cell>
        </row>
        <row r="511">
          <cell r="A511" t="str">
            <v>SATUAN PEMBAYARAN</v>
          </cell>
          <cell r="D511" t="str">
            <v>:  JAM</v>
          </cell>
          <cell r="F511" t="str">
            <v>(E07)</v>
          </cell>
        </row>
        <row r="514">
          <cell r="G514" t="str">
            <v>PERKIRAAN</v>
          </cell>
          <cell r="H514" t="str">
            <v>HARGA</v>
          </cell>
          <cell r="I514" t="str">
            <v>JUMLAH</v>
          </cell>
        </row>
        <row r="515">
          <cell r="A515" t="str">
            <v>NO.</v>
          </cell>
          <cell r="C515" t="str">
            <v>KOMPONEN</v>
          </cell>
          <cell r="F515" t="str">
            <v>SATUAN</v>
          </cell>
          <cell r="G515" t="str">
            <v>KUANTITAS</v>
          </cell>
          <cell r="H515" t="str">
            <v>SATUAN</v>
          </cell>
          <cell r="I515" t="str">
            <v>HARGA</v>
          </cell>
        </row>
        <row r="516">
          <cell r="H516" t="str">
            <v>(Rp.)</v>
          </cell>
          <cell r="I516" t="str">
            <v>(Rp.)</v>
          </cell>
        </row>
        <row r="519">
          <cell r="A519" t="str">
            <v>A.</v>
          </cell>
          <cell r="C519" t="str">
            <v>PEKERJA</v>
          </cell>
        </row>
        <row r="521">
          <cell r="A521" t="str">
            <v>1.</v>
          </cell>
          <cell r="C521" t="str">
            <v>-</v>
          </cell>
          <cell r="G521" t="str">
            <v xml:space="preserve">-  </v>
          </cell>
          <cell r="H521" t="str">
            <v xml:space="preserve">-   </v>
          </cell>
          <cell r="K521" t="str">
            <v>-</v>
          </cell>
        </row>
        <row r="522">
          <cell r="A522" t="str">
            <v>2.</v>
          </cell>
          <cell r="C522" t="str">
            <v>-</v>
          </cell>
          <cell r="G522" t="str">
            <v xml:space="preserve">-  </v>
          </cell>
          <cell r="H522" t="str">
            <v xml:space="preserve">-   </v>
          </cell>
          <cell r="K522" t="str">
            <v>-</v>
          </cell>
        </row>
        <row r="527">
          <cell r="A527" t="str">
            <v>B.</v>
          </cell>
          <cell r="C527" t="str">
            <v>BAHAN</v>
          </cell>
        </row>
        <row r="529">
          <cell r="A529" t="str">
            <v>1.</v>
          </cell>
          <cell r="C529" t="str">
            <v>-</v>
          </cell>
          <cell r="G529" t="str">
            <v xml:space="preserve">-  </v>
          </cell>
          <cell r="H529" t="str">
            <v xml:space="preserve">-   </v>
          </cell>
          <cell r="K529" t="str">
            <v>-</v>
          </cell>
        </row>
        <row r="530">
          <cell r="A530" t="str">
            <v>2.</v>
          </cell>
          <cell r="C530" t="str">
            <v>-</v>
          </cell>
          <cell r="G530" t="str">
            <v xml:space="preserve">-  </v>
          </cell>
          <cell r="H530" t="str">
            <v xml:space="preserve">-   </v>
          </cell>
          <cell r="K530" t="str">
            <v>-</v>
          </cell>
        </row>
        <row r="538">
          <cell r="A538" t="str">
            <v>C.</v>
          </cell>
          <cell r="C538" t="str">
            <v>ALAT</v>
          </cell>
        </row>
        <row r="540">
          <cell r="A540" t="str">
            <v>1.</v>
          </cell>
          <cell r="C540" t="str">
            <v>CRANE 10-15 TON</v>
          </cell>
          <cell r="F540" t="str">
            <v>jam</v>
          </cell>
        </row>
        <row r="541">
          <cell r="A541" t="str">
            <v>2.</v>
          </cell>
          <cell r="C541" t="str">
            <v>-</v>
          </cell>
          <cell r="F541" t="str">
            <v>jam</v>
          </cell>
          <cell r="G541" t="str">
            <v xml:space="preserve">-  </v>
          </cell>
          <cell r="H541" t="str">
            <v xml:space="preserve">-   </v>
          </cell>
          <cell r="K541" t="str">
            <v>-</v>
          </cell>
        </row>
        <row r="549">
          <cell r="A549" t="str">
            <v>D.</v>
          </cell>
          <cell r="C549" t="str">
            <v>JUMLAH HARGA TENAGA, BAHAN DAN ALAT  ( A + B + C )</v>
          </cell>
        </row>
        <row r="550">
          <cell r="A550" t="str">
            <v>E.</v>
          </cell>
          <cell r="C550" t="str">
            <v>OVERHEAD &amp; PROFIT</v>
          </cell>
          <cell r="F550">
            <v>10</v>
          </cell>
          <cell r="G550" t="str">
            <v>%  x  D</v>
          </cell>
        </row>
        <row r="551">
          <cell r="A551" t="str">
            <v>F.</v>
          </cell>
          <cell r="C551" t="str">
            <v>HARGA SATUAN PEKERJAAN  ( D + E ) DIBULATKAN</v>
          </cell>
        </row>
        <row r="552">
          <cell r="A552" t="str">
            <v>Note: 1</v>
          </cell>
          <cell r="C552" t="str">
            <v>SATUAN dapat berdasarkan atas jam operasi untuk Tenaga Kerja dan Peralatan, volume dan/atau ukuran</v>
          </cell>
        </row>
        <row r="553">
          <cell r="C553" t="str">
            <v>berat untuk bahan-bahan.</v>
          </cell>
        </row>
        <row r="554">
          <cell r="A554">
            <v>2</v>
          </cell>
          <cell r="C554" t="str">
            <v>Kuantitas satuan adalah kuantitas setiap komponen untuk menyelesaikan satu satuan pekerjaan dari nomor</v>
          </cell>
        </row>
        <row r="555">
          <cell r="C555" t="str">
            <v>mata pembayaran.</v>
          </cell>
        </row>
        <row r="556">
          <cell r="A556">
            <v>3</v>
          </cell>
          <cell r="C556" t="str">
            <v>Biaya satuan untuk peralatan sudah termasuk bahan bakar, bahan habis dipakai dan operator.</v>
          </cell>
        </row>
        <row r="557">
          <cell r="A557">
            <v>4</v>
          </cell>
          <cell r="C557" t="str">
            <v>Biaya satuan sudah termasuk pengeluaran untuk seluruh pajak yang berkaitan (tetapi tidak termasuk PPN</v>
          </cell>
        </row>
        <row r="558">
          <cell r="C558" t="str">
            <v>yang dibayar dari kontrak) dan biaya-biaya lainnya.</v>
          </cell>
        </row>
        <row r="559">
          <cell r="J559" t="str">
            <v>Analisa EI-913</v>
          </cell>
        </row>
        <row r="561">
          <cell r="A561" t="str">
            <v>FORMULIR STANDAR UNTUK</v>
          </cell>
        </row>
        <row r="562">
          <cell r="A562" t="str">
            <v>PEREKAMAN ANALISA MASING-MASING HARGA SATUAN</v>
          </cell>
        </row>
        <row r="563">
          <cell r="A563">
            <v>0</v>
          </cell>
        </row>
        <row r="565">
          <cell r="A565" t="str">
            <v>Kegiatan</v>
          </cell>
          <cell r="D565" t="str">
            <v>: Pembangunan Jalan Dinas Bina Marga dan Cipta Karya Prov. NAD</v>
          </cell>
        </row>
        <row r="566">
          <cell r="A566" t="str">
            <v>Nama Paket</v>
          </cell>
          <cell r="D566" t="str">
            <v>: …………………………………………..</v>
          </cell>
        </row>
        <row r="567">
          <cell r="A567" t="str">
            <v>Nomor Paket</v>
          </cell>
          <cell r="D567" t="str">
            <v>: ……………………………………………</v>
          </cell>
        </row>
        <row r="568">
          <cell r="A568" t="str">
            <v>Tahun Anggaran</v>
          </cell>
          <cell r="D568" t="str">
            <v>: 2009</v>
          </cell>
        </row>
        <row r="569">
          <cell r="A569" t="str">
            <v>Prop / Kab / Kodya</v>
          </cell>
          <cell r="D569" t="str">
            <v>: .......................................................</v>
          </cell>
        </row>
        <row r="570">
          <cell r="A570" t="str">
            <v>ITEM PEMBAYARAN NO.</v>
          </cell>
          <cell r="D570" t="str">
            <v>:  9.1(13)</v>
          </cell>
          <cell r="H570" t="str">
            <v>PERKIRAAN VOL. PEK.</v>
          </cell>
          <cell r="J570" t="str">
            <v>:</v>
          </cell>
        </row>
        <row r="571">
          <cell r="A571" t="str">
            <v>JENIS PEKERJAAN</v>
          </cell>
          <cell r="D571" t="str">
            <v>:  PEKERJAAN HARIAN</v>
          </cell>
          <cell r="H571" t="str">
            <v>TOTAL HARGA (Rp.)</v>
          </cell>
          <cell r="J571" t="str">
            <v>:</v>
          </cell>
        </row>
        <row r="572">
          <cell r="E572" t="str">
            <v>STEEL WHEEL ROLLER 6-9 T.</v>
          </cell>
          <cell r="H572" t="str">
            <v>% THD. BIAYA PROYEK</v>
          </cell>
          <cell r="J572" t="str">
            <v>:</v>
          </cell>
        </row>
        <row r="573">
          <cell r="A573" t="str">
            <v>SATUAN PEMBAYARAN</v>
          </cell>
          <cell r="D573" t="str">
            <v>:  JAM</v>
          </cell>
          <cell r="F573" t="str">
            <v>(E16)</v>
          </cell>
        </row>
        <row r="576">
          <cell r="G576" t="str">
            <v>PERKIRAAN</v>
          </cell>
          <cell r="H576" t="str">
            <v>HARGA</v>
          </cell>
          <cell r="I576" t="str">
            <v>JUMLAH</v>
          </cell>
        </row>
        <row r="577">
          <cell r="A577" t="str">
            <v>NO.</v>
          </cell>
          <cell r="C577" t="str">
            <v>KOMPONEN</v>
          </cell>
          <cell r="F577" t="str">
            <v>SATUAN</v>
          </cell>
          <cell r="G577" t="str">
            <v>KUANTITAS</v>
          </cell>
          <cell r="H577" t="str">
            <v>SATUAN</v>
          </cell>
          <cell r="I577" t="str">
            <v>HARGA</v>
          </cell>
        </row>
        <row r="578">
          <cell r="H578" t="str">
            <v>(Rp.)</v>
          </cell>
          <cell r="I578" t="str">
            <v>(Rp.)</v>
          </cell>
        </row>
        <row r="581">
          <cell r="A581" t="str">
            <v>A.</v>
          </cell>
          <cell r="C581" t="str">
            <v>PEKERJA</v>
          </cell>
        </row>
        <row r="583">
          <cell r="A583" t="str">
            <v>1.</v>
          </cell>
          <cell r="C583" t="str">
            <v>-</v>
          </cell>
          <cell r="G583" t="str">
            <v xml:space="preserve">-  </v>
          </cell>
          <cell r="H583" t="str">
            <v xml:space="preserve">-   </v>
          </cell>
          <cell r="K583" t="str">
            <v>-</v>
          </cell>
        </row>
        <row r="584">
          <cell r="A584" t="str">
            <v>2.</v>
          </cell>
          <cell r="C584" t="str">
            <v>-</v>
          </cell>
          <cell r="G584" t="str">
            <v xml:space="preserve">-  </v>
          </cell>
          <cell r="H584" t="str">
            <v xml:space="preserve">-   </v>
          </cell>
          <cell r="K584" t="str">
            <v>-</v>
          </cell>
        </row>
        <row r="589">
          <cell r="A589" t="str">
            <v>B.</v>
          </cell>
          <cell r="C589" t="str">
            <v>BAHAN</v>
          </cell>
        </row>
        <row r="591">
          <cell r="A591" t="str">
            <v>1.</v>
          </cell>
          <cell r="C591" t="str">
            <v>-</v>
          </cell>
          <cell r="G591" t="str">
            <v xml:space="preserve">-  </v>
          </cell>
          <cell r="H591" t="str">
            <v xml:space="preserve">-   </v>
          </cell>
          <cell r="K591" t="str">
            <v>-</v>
          </cell>
        </row>
        <row r="592">
          <cell r="A592" t="str">
            <v>2.</v>
          </cell>
          <cell r="C592" t="str">
            <v>-</v>
          </cell>
          <cell r="G592" t="str">
            <v xml:space="preserve">-  </v>
          </cell>
          <cell r="H592" t="str">
            <v xml:space="preserve">-   </v>
          </cell>
          <cell r="K592" t="str">
            <v>-</v>
          </cell>
        </row>
        <row r="600">
          <cell r="A600" t="str">
            <v>C.</v>
          </cell>
          <cell r="C600" t="str">
            <v>ALAT</v>
          </cell>
        </row>
        <row r="602">
          <cell r="A602" t="str">
            <v>1.</v>
          </cell>
          <cell r="C602" t="str">
            <v>STEEL WHEEL ROLLER 6-9 T.</v>
          </cell>
          <cell r="F602" t="str">
            <v>jam</v>
          </cell>
        </row>
        <row r="603">
          <cell r="A603" t="str">
            <v>2.</v>
          </cell>
          <cell r="C603" t="str">
            <v>-</v>
          </cell>
          <cell r="F603" t="str">
            <v>jam</v>
          </cell>
          <cell r="G603" t="str">
            <v xml:space="preserve">-  </v>
          </cell>
          <cell r="H603" t="str">
            <v xml:space="preserve">-   </v>
          </cell>
          <cell r="K603" t="str">
            <v>-</v>
          </cell>
        </row>
        <row r="611">
          <cell r="A611" t="str">
            <v>D.</v>
          </cell>
          <cell r="C611" t="str">
            <v>JUMLAH HARGA TENAGA, BAHAN DAN ALAT  ( A + B + C )</v>
          </cell>
        </row>
        <row r="612">
          <cell r="A612" t="str">
            <v>E.</v>
          </cell>
          <cell r="C612" t="str">
            <v>OVERHEAD &amp; PROFIT</v>
          </cell>
          <cell r="F612">
            <v>10</v>
          </cell>
          <cell r="G612" t="str">
            <v>%  x  D</v>
          </cell>
        </row>
        <row r="613">
          <cell r="A613" t="str">
            <v>F.</v>
          </cell>
          <cell r="C613" t="str">
            <v>HARGA SATUAN PEKERJAAN  ( D + E ) DIBULATKAN</v>
          </cell>
        </row>
        <row r="614">
          <cell r="A614" t="str">
            <v>Note: 1</v>
          </cell>
          <cell r="C614" t="str">
            <v>SATUAN dapat berdasarkan atas jam operasi untuk Tenaga Kerja dan Peralatan, volume dan/atau ukuran</v>
          </cell>
        </row>
        <row r="615">
          <cell r="C615" t="str">
            <v>berat untuk bahan-bahan.</v>
          </cell>
        </row>
        <row r="616">
          <cell r="A616">
            <v>2</v>
          </cell>
          <cell r="C616" t="str">
            <v>Kuantitas satuan adalah kuantitas setiap komponen untuk menyelesaikan satu satuan pekerjaan dari nomor</v>
          </cell>
        </row>
        <row r="617">
          <cell r="C617" t="str">
            <v>mata pembayaran.</v>
          </cell>
        </row>
        <row r="618">
          <cell r="A618">
            <v>3</v>
          </cell>
          <cell r="C618" t="str">
            <v>Biaya satuan untuk peralatan sudah termasuk bahan bakar, bahan habis dipakai dan operator.</v>
          </cell>
        </row>
        <row r="619">
          <cell r="A619">
            <v>4</v>
          </cell>
          <cell r="C619" t="str">
            <v>Biaya satuan sudah termasuk pengeluaran untuk seluruh pajak yang berkaitan (tetapi tidak termasuk PPN</v>
          </cell>
        </row>
        <row r="620">
          <cell r="C620" t="str">
            <v>yang dibayar dari kontrak) dan biaya-biaya lainnya.</v>
          </cell>
        </row>
        <row r="621">
          <cell r="J621" t="str">
            <v>Analisa EI-914</v>
          </cell>
        </row>
        <row r="623">
          <cell r="A623" t="str">
            <v>FORMULIR STANDAR UNTUK</v>
          </cell>
        </row>
        <row r="624">
          <cell r="A624" t="str">
            <v>PEREKAMAN ANALISA MASING-MASING HARGA SATUAN</v>
          </cell>
        </row>
        <row r="625">
          <cell r="A625">
            <v>0</v>
          </cell>
        </row>
        <row r="627">
          <cell r="A627" t="str">
            <v>Kegiatan</v>
          </cell>
          <cell r="D627" t="str">
            <v>: Pembangunan Jalan Dinas Bina Marga dan Cipta Karya Prov. NAD</v>
          </cell>
        </row>
        <row r="628">
          <cell r="A628" t="str">
            <v>Nama Paket</v>
          </cell>
          <cell r="D628" t="str">
            <v>: …………………………………………..</v>
          </cell>
        </row>
        <row r="629">
          <cell r="A629" t="str">
            <v>Nomor Paket</v>
          </cell>
          <cell r="D629" t="str">
            <v>: ……………………………………………</v>
          </cell>
        </row>
        <row r="630">
          <cell r="A630" t="str">
            <v>Tahun Anggaran</v>
          </cell>
          <cell r="D630" t="str">
            <v>: 2009</v>
          </cell>
        </row>
        <row r="631">
          <cell r="A631" t="str">
            <v>Prop / Kab / Kodya</v>
          </cell>
          <cell r="D631" t="str">
            <v>: .......................................................</v>
          </cell>
        </row>
        <row r="632">
          <cell r="A632" t="str">
            <v>ITEM PEMBAYARAN NO.</v>
          </cell>
          <cell r="D632" t="str">
            <v>:  9.1(14)</v>
          </cell>
          <cell r="H632" t="str">
            <v>PERKIRAAN VOL. PEK.</v>
          </cell>
          <cell r="J632" t="str">
            <v>:</v>
          </cell>
        </row>
        <row r="633">
          <cell r="A633" t="str">
            <v>JENIS PEKERJAAN</v>
          </cell>
          <cell r="D633" t="str">
            <v>:  PEKERJAAN HARIAN</v>
          </cell>
          <cell r="H633" t="str">
            <v>TOTAL HARGA (Rp.)</v>
          </cell>
          <cell r="J633" t="str">
            <v>:</v>
          </cell>
        </row>
        <row r="634">
          <cell r="E634" t="str">
            <v>VIBRATORY ROLLER 5-8 T.</v>
          </cell>
          <cell r="H634" t="str">
            <v>% THD. BIAYA PROYEK</v>
          </cell>
          <cell r="J634" t="str">
            <v>:</v>
          </cell>
        </row>
        <row r="635">
          <cell r="A635" t="str">
            <v>SATUAN PEMBAYARAN</v>
          </cell>
          <cell r="D635" t="str">
            <v>:  JAM</v>
          </cell>
          <cell r="F635" t="str">
            <v>(E19)</v>
          </cell>
        </row>
        <row r="638">
          <cell r="G638" t="str">
            <v>PERKIRAAN</v>
          </cell>
          <cell r="H638" t="str">
            <v>HARGA</v>
          </cell>
          <cell r="I638" t="str">
            <v>JUMLAH</v>
          </cell>
        </row>
        <row r="639">
          <cell r="A639" t="str">
            <v>NO.</v>
          </cell>
          <cell r="C639" t="str">
            <v>KOMPONEN</v>
          </cell>
          <cell r="F639" t="str">
            <v>SATUAN</v>
          </cell>
          <cell r="G639" t="str">
            <v>KUANTITAS</v>
          </cell>
          <cell r="H639" t="str">
            <v>SATUAN</v>
          </cell>
          <cell r="I639" t="str">
            <v>HARGA</v>
          </cell>
        </row>
        <row r="640">
          <cell r="H640" t="str">
            <v>(Rp.)</v>
          </cell>
          <cell r="I640" t="str">
            <v>(Rp.)</v>
          </cell>
        </row>
        <row r="643">
          <cell r="A643" t="str">
            <v>A.</v>
          </cell>
          <cell r="C643" t="str">
            <v>PEKERJA</v>
          </cell>
        </row>
        <row r="645">
          <cell r="A645" t="str">
            <v>1.</v>
          </cell>
          <cell r="C645" t="str">
            <v>-</v>
          </cell>
          <cell r="G645" t="str">
            <v xml:space="preserve">-  </v>
          </cell>
          <cell r="H645" t="str">
            <v xml:space="preserve">-   </v>
          </cell>
          <cell r="K645" t="str">
            <v>-</v>
          </cell>
        </row>
        <row r="646">
          <cell r="A646" t="str">
            <v>2.</v>
          </cell>
          <cell r="C646" t="str">
            <v>-</v>
          </cell>
          <cell r="G646" t="str">
            <v xml:space="preserve">-  </v>
          </cell>
          <cell r="H646" t="str">
            <v xml:space="preserve">-   </v>
          </cell>
          <cell r="K646" t="str">
            <v>-</v>
          </cell>
        </row>
        <row r="651">
          <cell r="A651" t="str">
            <v>B.</v>
          </cell>
          <cell r="C651" t="str">
            <v>BAHAN</v>
          </cell>
        </row>
        <row r="653">
          <cell r="A653" t="str">
            <v>1.</v>
          </cell>
          <cell r="C653" t="str">
            <v>-</v>
          </cell>
          <cell r="G653" t="str">
            <v xml:space="preserve">-  </v>
          </cell>
          <cell r="H653" t="str">
            <v xml:space="preserve">-   </v>
          </cell>
          <cell r="K653" t="str">
            <v>-</v>
          </cell>
        </row>
        <row r="654">
          <cell r="A654" t="str">
            <v>2.</v>
          </cell>
          <cell r="C654" t="str">
            <v>-</v>
          </cell>
          <cell r="G654" t="str">
            <v xml:space="preserve">-  </v>
          </cell>
          <cell r="H654" t="str">
            <v xml:space="preserve">-   </v>
          </cell>
          <cell r="K654" t="str">
            <v>-</v>
          </cell>
        </row>
        <row r="662">
          <cell r="A662" t="str">
            <v>C.</v>
          </cell>
          <cell r="C662" t="str">
            <v>ALAT</v>
          </cell>
        </row>
        <row r="664">
          <cell r="A664" t="str">
            <v>1.</v>
          </cell>
          <cell r="C664" t="str">
            <v>VIBRATORY ROLLER 5-8 T.</v>
          </cell>
          <cell r="F664" t="str">
            <v>jam</v>
          </cell>
        </row>
        <row r="665">
          <cell r="A665" t="str">
            <v>2.</v>
          </cell>
          <cell r="C665" t="str">
            <v>-</v>
          </cell>
          <cell r="F665" t="str">
            <v>jam</v>
          </cell>
          <cell r="G665" t="str">
            <v xml:space="preserve">-  </v>
          </cell>
          <cell r="H665" t="str">
            <v xml:space="preserve">-   </v>
          </cell>
          <cell r="K665" t="str">
            <v>-</v>
          </cell>
        </row>
        <row r="673">
          <cell r="A673" t="str">
            <v>D.</v>
          </cell>
          <cell r="C673" t="str">
            <v>JUMLAH HARGA TENAGA, BAHAN DAN ALAT  ( A + B + C )</v>
          </cell>
        </row>
        <row r="674">
          <cell r="A674" t="str">
            <v>E.</v>
          </cell>
          <cell r="C674" t="str">
            <v>OVERHEAD &amp; PROFIT</v>
          </cell>
          <cell r="F674">
            <v>10</v>
          </cell>
          <cell r="G674" t="str">
            <v>%  x  D</v>
          </cell>
        </row>
        <row r="675">
          <cell r="A675" t="str">
            <v>F.</v>
          </cell>
          <cell r="C675" t="str">
            <v>HARGA SATUAN PEKERJAAN  ( D + E ) DIBULATKAN</v>
          </cell>
        </row>
        <row r="676">
          <cell r="A676" t="str">
            <v>Note: 1</v>
          </cell>
          <cell r="C676" t="str">
            <v>SATUAN dapat berdasarkan atas jam operasi untuk Tenaga Kerja dan Peralatan, volume dan/atau ukuran</v>
          </cell>
        </row>
        <row r="677">
          <cell r="C677" t="str">
            <v>berat untuk bahan-bahan.</v>
          </cell>
        </row>
        <row r="678">
          <cell r="A678">
            <v>2</v>
          </cell>
          <cell r="C678" t="str">
            <v>Kuantitas satuan adalah kuantitas setiap komponen untuk menyelesaikan satu satuan pekerjaan dari nomor</v>
          </cell>
        </row>
        <row r="679">
          <cell r="C679" t="str">
            <v>mata pembayaran.</v>
          </cell>
        </row>
        <row r="680">
          <cell r="A680">
            <v>3</v>
          </cell>
          <cell r="C680" t="str">
            <v>Biaya satuan untuk peralatan sudah termasuk bahan bakar, bahan habis dipakai dan operator.</v>
          </cell>
        </row>
        <row r="681">
          <cell r="A681">
            <v>4</v>
          </cell>
          <cell r="C681" t="str">
            <v>Biaya satuan sudah termasuk pengeluaran untuk seluruh pajak yang berkaitan (tetapi tidak termasuk PPN</v>
          </cell>
        </row>
        <row r="682">
          <cell r="C682" t="str">
            <v>yang dibayar dari kontrak) dan biaya-biaya lainnya.</v>
          </cell>
        </row>
        <row r="683">
          <cell r="J683" t="str">
            <v>Analisa EI-915</v>
          </cell>
        </row>
        <row r="685">
          <cell r="A685" t="str">
            <v>FORMULIR STANDAR UNTUK</v>
          </cell>
        </row>
        <row r="686">
          <cell r="A686" t="str">
            <v>PEREKAMAN ANALISA MASING-MASING HARGA SATUAN</v>
          </cell>
        </row>
        <row r="687">
          <cell r="A687">
            <v>0</v>
          </cell>
        </row>
        <row r="689">
          <cell r="A689" t="str">
            <v>Kegiatan</v>
          </cell>
          <cell r="D689" t="str">
            <v>: Pembangunan Jalan Dinas Bina Marga dan Cipta Karya Prov. NAD</v>
          </cell>
        </row>
        <row r="690">
          <cell r="A690" t="str">
            <v>Nama Paket</v>
          </cell>
          <cell r="D690" t="str">
            <v>: …………………………………………..</v>
          </cell>
        </row>
        <row r="691">
          <cell r="A691" t="str">
            <v>Nomor Paket</v>
          </cell>
          <cell r="D691" t="str">
            <v>: ……………………………………………</v>
          </cell>
        </row>
        <row r="692">
          <cell r="A692" t="str">
            <v>Tahun Anggaran</v>
          </cell>
          <cell r="D692" t="str">
            <v>: 2009</v>
          </cell>
        </row>
        <row r="693">
          <cell r="A693" t="str">
            <v>Prop / Kab / Kodya</v>
          </cell>
          <cell r="D693" t="str">
            <v>: .......................................................</v>
          </cell>
        </row>
        <row r="694">
          <cell r="A694" t="str">
            <v>ITEM PEMBAYARAN NO.</v>
          </cell>
          <cell r="D694" t="str">
            <v>:  9.1(15)</v>
          </cell>
          <cell r="H694" t="str">
            <v>PERKIRAAN VOL. PEK.</v>
          </cell>
          <cell r="J694" t="str">
            <v>:</v>
          </cell>
        </row>
        <row r="695">
          <cell r="A695" t="str">
            <v>JENIS PEKERJAAN</v>
          </cell>
          <cell r="D695" t="str">
            <v>:  PEKERJAAN HARIAN</v>
          </cell>
          <cell r="H695" t="str">
            <v>TOTAL HARGA (Rp.)</v>
          </cell>
          <cell r="J695" t="str">
            <v>:</v>
          </cell>
        </row>
        <row r="696">
          <cell r="E696" t="str">
            <v>VIBRATORY COMPACTOR</v>
          </cell>
          <cell r="H696" t="str">
            <v>% THD. BIAYA PROYEK</v>
          </cell>
          <cell r="J696" t="str">
            <v>:</v>
          </cell>
        </row>
        <row r="697">
          <cell r="A697" t="str">
            <v>SATUAN PEMBAYARAN</v>
          </cell>
          <cell r="D697" t="str">
            <v>:  JAM</v>
          </cell>
          <cell r="F697" t="str">
            <v>(E25)</v>
          </cell>
        </row>
        <row r="700">
          <cell r="G700" t="str">
            <v>PERKIRAAN</v>
          </cell>
          <cell r="H700" t="str">
            <v>HARGA</v>
          </cell>
          <cell r="I700" t="str">
            <v>JUMLAH</v>
          </cell>
        </row>
        <row r="701">
          <cell r="A701" t="str">
            <v>NO.</v>
          </cell>
          <cell r="C701" t="str">
            <v>KOMPONEN</v>
          </cell>
          <cell r="F701" t="str">
            <v>SATUAN</v>
          </cell>
          <cell r="G701" t="str">
            <v>KUANTITAS</v>
          </cell>
          <cell r="H701" t="str">
            <v>SATUAN</v>
          </cell>
          <cell r="I701" t="str">
            <v>HARGA</v>
          </cell>
        </row>
        <row r="702">
          <cell r="H702" t="str">
            <v>(Rp.)</v>
          </cell>
          <cell r="I702" t="str">
            <v>(Rp.)</v>
          </cell>
        </row>
        <row r="705">
          <cell r="A705" t="str">
            <v>A.</v>
          </cell>
          <cell r="C705" t="str">
            <v>PEKERJA</v>
          </cell>
        </row>
        <row r="707">
          <cell r="A707" t="str">
            <v>1.</v>
          </cell>
          <cell r="C707" t="str">
            <v>-</v>
          </cell>
          <cell r="G707" t="str">
            <v xml:space="preserve">-  </v>
          </cell>
          <cell r="H707" t="str">
            <v xml:space="preserve">-   </v>
          </cell>
          <cell r="K707" t="str">
            <v>-</v>
          </cell>
        </row>
        <row r="708">
          <cell r="A708" t="str">
            <v>2.</v>
          </cell>
          <cell r="C708" t="str">
            <v>-</v>
          </cell>
          <cell r="G708" t="str">
            <v xml:space="preserve">-  </v>
          </cell>
          <cell r="H708" t="str">
            <v xml:space="preserve">-   </v>
          </cell>
          <cell r="K708" t="str">
            <v>-</v>
          </cell>
        </row>
        <row r="713">
          <cell r="A713" t="str">
            <v>B.</v>
          </cell>
          <cell r="C713" t="str">
            <v>BAHAN</v>
          </cell>
        </row>
        <row r="715">
          <cell r="A715" t="str">
            <v>1.</v>
          </cell>
          <cell r="C715" t="str">
            <v>-</v>
          </cell>
          <cell r="G715" t="str">
            <v xml:space="preserve">-  </v>
          </cell>
          <cell r="H715" t="str">
            <v xml:space="preserve">-   </v>
          </cell>
          <cell r="K715" t="str">
            <v>-</v>
          </cell>
        </row>
        <row r="716">
          <cell r="A716" t="str">
            <v>2.</v>
          </cell>
          <cell r="C716" t="str">
            <v>-</v>
          </cell>
          <cell r="G716" t="str">
            <v xml:space="preserve">-  </v>
          </cell>
          <cell r="H716" t="str">
            <v xml:space="preserve">-   </v>
          </cell>
          <cell r="K716" t="str">
            <v>-</v>
          </cell>
        </row>
        <row r="724">
          <cell r="A724" t="str">
            <v>C.</v>
          </cell>
          <cell r="C724" t="str">
            <v>ALAT</v>
          </cell>
        </row>
        <row r="726">
          <cell r="A726" t="str">
            <v>1.</v>
          </cell>
          <cell r="C726" t="str">
            <v>VIBRATORY COMPACTOR</v>
          </cell>
          <cell r="F726" t="str">
            <v>jam</v>
          </cell>
        </row>
        <row r="727">
          <cell r="A727" t="str">
            <v>2.</v>
          </cell>
          <cell r="C727" t="str">
            <v>-</v>
          </cell>
          <cell r="F727" t="str">
            <v>jam</v>
          </cell>
          <cell r="G727" t="str">
            <v xml:space="preserve">-  </v>
          </cell>
          <cell r="H727" t="str">
            <v xml:space="preserve">-   </v>
          </cell>
          <cell r="K727" t="str">
            <v>-</v>
          </cell>
        </row>
        <row r="735">
          <cell r="A735" t="str">
            <v>D.</v>
          </cell>
          <cell r="C735" t="str">
            <v>JUMLAH HARGA TENAGA, BAHAN DAN ALAT  ( A + B + C )</v>
          </cell>
        </row>
        <row r="736">
          <cell r="A736" t="str">
            <v>E.</v>
          </cell>
          <cell r="C736" t="str">
            <v>OVERHEAD &amp; PROFIT</v>
          </cell>
          <cell r="F736">
            <v>10</v>
          </cell>
          <cell r="G736" t="str">
            <v>%  x  D</v>
          </cell>
        </row>
        <row r="737">
          <cell r="A737" t="str">
            <v>F.</v>
          </cell>
          <cell r="C737" t="str">
            <v>HARGA SATUAN PEKERJAAN  ( D + E ) DIBULATKAN</v>
          </cell>
        </row>
        <row r="738">
          <cell r="A738" t="str">
            <v>Note: 1</v>
          </cell>
          <cell r="C738" t="str">
            <v>SATUAN dapat berdasarkan atas jam operasi untuk Tenaga Kerja dan Peralatan, volume dan/atau ukuran</v>
          </cell>
        </row>
        <row r="739">
          <cell r="C739" t="str">
            <v>berat untuk bahan-bahan.</v>
          </cell>
        </row>
        <row r="740">
          <cell r="A740">
            <v>2</v>
          </cell>
          <cell r="C740" t="str">
            <v>Kuantitas satuan adalah kuantitas setiap komponen untuk menyelesaikan satu satuan pekerjaan dari nomor</v>
          </cell>
        </row>
        <row r="741">
          <cell r="C741" t="str">
            <v>mata pembayaran.</v>
          </cell>
        </row>
        <row r="742">
          <cell r="A742">
            <v>3</v>
          </cell>
          <cell r="C742" t="str">
            <v>Biaya satuan untuk peralatan sudah termasuk bahan bakar, bahan habis dipakai dan operator.</v>
          </cell>
        </row>
        <row r="743">
          <cell r="A743">
            <v>4</v>
          </cell>
          <cell r="C743" t="str">
            <v>Biaya satuan sudah termasuk pengeluaran untuk seluruh pajak yang berkaitan (tetapi tidak termasuk PPN</v>
          </cell>
        </row>
        <row r="744">
          <cell r="C744" t="str">
            <v>yang dibayar dari kontrak) dan biaya-biaya lainnya.</v>
          </cell>
        </row>
        <row r="745">
          <cell r="J745" t="str">
            <v>Analisa EI-916</v>
          </cell>
        </row>
        <row r="747">
          <cell r="A747" t="str">
            <v>FORMULIR STANDAR UNTUK</v>
          </cell>
        </row>
        <row r="748">
          <cell r="A748" t="str">
            <v>PEREKAMAN ANALISA MASING-MASING HARGA SATUAN</v>
          </cell>
        </row>
        <row r="749">
          <cell r="A749">
            <v>0</v>
          </cell>
        </row>
        <row r="751">
          <cell r="A751" t="str">
            <v>Kegiatan</v>
          </cell>
          <cell r="D751" t="str">
            <v>: Pembangunan Jalan Dinas Bina Marga dan Cipta Karya Prov. NAD</v>
          </cell>
        </row>
        <row r="752">
          <cell r="A752" t="str">
            <v>Nama Paket</v>
          </cell>
          <cell r="D752" t="str">
            <v>: …………………………………………..</v>
          </cell>
        </row>
        <row r="753">
          <cell r="A753" t="str">
            <v>Nomor Paket</v>
          </cell>
          <cell r="D753" t="str">
            <v>: ……………………………………………</v>
          </cell>
        </row>
        <row r="754">
          <cell r="A754" t="str">
            <v>Tahun Anggaran</v>
          </cell>
          <cell r="D754" t="str">
            <v>: 2009</v>
          </cell>
        </row>
        <row r="755">
          <cell r="A755" t="str">
            <v>Prop / Kab / Kodya</v>
          </cell>
          <cell r="D755" t="str">
            <v>: .......................................................</v>
          </cell>
        </row>
        <row r="756">
          <cell r="A756" t="str">
            <v>ITEM PEMBAYARAN NO.</v>
          </cell>
          <cell r="D756" t="str">
            <v>:  9.1(16)</v>
          </cell>
          <cell r="H756" t="str">
            <v>PERKIRAAN VOL. PEK.</v>
          </cell>
          <cell r="J756" t="str">
            <v>:</v>
          </cell>
        </row>
        <row r="757">
          <cell r="A757" t="str">
            <v>JENIS PEKERJAAN</v>
          </cell>
          <cell r="D757" t="str">
            <v>:  PEKERJAAN HARIAN</v>
          </cell>
          <cell r="H757" t="str">
            <v>TOTAL HARGA (Rp.)</v>
          </cell>
          <cell r="J757" t="str">
            <v>:</v>
          </cell>
        </row>
        <row r="758">
          <cell r="E758" t="str">
            <v>TIRE ROLLER 8-10 T.</v>
          </cell>
          <cell r="H758" t="str">
            <v>% THD. BIAYA PROYEK</v>
          </cell>
          <cell r="J758" t="str">
            <v>:</v>
          </cell>
        </row>
        <row r="759">
          <cell r="A759" t="str">
            <v>SATUAN PEMBAYARAN</v>
          </cell>
          <cell r="D759" t="str">
            <v>:  JAM</v>
          </cell>
          <cell r="F759" t="str">
            <v>(E18)</v>
          </cell>
        </row>
        <row r="762">
          <cell r="G762" t="str">
            <v>PERKIRAAN</v>
          </cell>
          <cell r="H762" t="str">
            <v>HARGA</v>
          </cell>
          <cell r="I762" t="str">
            <v>JUMLAH</v>
          </cell>
        </row>
        <row r="763">
          <cell r="A763" t="str">
            <v>NO.</v>
          </cell>
          <cell r="C763" t="str">
            <v>KOMPONEN</v>
          </cell>
          <cell r="F763" t="str">
            <v>SATUAN</v>
          </cell>
          <cell r="G763" t="str">
            <v>KUANTITAS</v>
          </cell>
          <cell r="H763" t="str">
            <v>SATUAN</v>
          </cell>
          <cell r="I763" t="str">
            <v>HARGA</v>
          </cell>
        </row>
        <row r="764">
          <cell r="H764" t="str">
            <v>(Rp.)</v>
          </cell>
          <cell r="I764" t="str">
            <v>(Rp.)</v>
          </cell>
        </row>
        <row r="767">
          <cell r="A767" t="str">
            <v>A.</v>
          </cell>
          <cell r="C767" t="str">
            <v>PEKERJA</v>
          </cell>
        </row>
        <row r="769">
          <cell r="A769" t="str">
            <v>1.</v>
          </cell>
          <cell r="C769" t="str">
            <v>-</v>
          </cell>
          <cell r="G769" t="str">
            <v xml:space="preserve">-  </v>
          </cell>
          <cell r="H769" t="str">
            <v xml:space="preserve">-   </v>
          </cell>
          <cell r="K769" t="str">
            <v>-</v>
          </cell>
        </row>
        <row r="770">
          <cell r="A770" t="str">
            <v>2.</v>
          </cell>
          <cell r="C770" t="str">
            <v>-</v>
          </cell>
          <cell r="G770" t="str">
            <v xml:space="preserve">-  </v>
          </cell>
          <cell r="H770" t="str">
            <v xml:space="preserve">-   </v>
          </cell>
          <cell r="K770" t="str">
            <v>-</v>
          </cell>
        </row>
        <row r="775">
          <cell r="A775" t="str">
            <v>B.</v>
          </cell>
          <cell r="C775" t="str">
            <v>BAHAN</v>
          </cell>
        </row>
        <row r="777">
          <cell r="A777" t="str">
            <v>1.</v>
          </cell>
          <cell r="C777" t="str">
            <v>-</v>
          </cell>
          <cell r="G777" t="str">
            <v xml:space="preserve">-  </v>
          </cell>
          <cell r="H777" t="str">
            <v xml:space="preserve">-   </v>
          </cell>
          <cell r="K777" t="str">
            <v>-</v>
          </cell>
        </row>
        <row r="778">
          <cell r="A778" t="str">
            <v>2.</v>
          </cell>
          <cell r="C778" t="str">
            <v>-</v>
          </cell>
          <cell r="G778" t="str">
            <v xml:space="preserve">-  </v>
          </cell>
          <cell r="H778" t="str">
            <v xml:space="preserve">-   </v>
          </cell>
          <cell r="K778" t="str">
            <v>-</v>
          </cell>
        </row>
        <row r="786">
          <cell r="A786" t="str">
            <v>C.</v>
          </cell>
          <cell r="C786" t="str">
            <v>ALAT</v>
          </cell>
        </row>
        <row r="788">
          <cell r="A788" t="str">
            <v>1.</v>
          </cell>
          <cell r="C788" t="str">
            <v>TIRE ROLLER 8-10 T.</v>
          </cell>
          <cell r="F788" t="str">
            <v>jam</v>
          </cell>
        </row>
        <row r="789">
          <cell r="A789" t="str">
            <v>2.</v>
          </cell>
          <cell r="C789" t="str">
            <v>-</v>
          </cell>
          <cell r="F789" t="str">
            <v>jam</v>
          </cell>
          <cell r="G789" t="str">
            <v xml:space="preserve">-  </v>
          </cell>
          <cell r="H789" t="str">
            <v xml:space="preserve">-   </v>
          </cell>
          <cell r="K789" t="str">
            <v>-</v>
          </cell>
        </row>
        <row r="797">
          <cell r="A797" t="str">
            <v>D.</v>
          </cell>
          <cell r="C797" t="str">
            <v>JUMLAH HARGA TENAGA, BAHAN DAN ALAT  ( A + B + C )</v>
          </cell>
        </row>
        <row r="798">
          <cell r="A798" t="str">
            <v>E.</v>
          </cell>
          <cell r="C798" t="str">
            <v>OVERHEAD &amp; PROFIT</v>
          </cell>
          <cell r="F798">
            <v>10</v>
          </cell>
          <cell r="G798" t="str">
            <v>%  x  D</v>
          </cell>
        </row>
        <row r="799">
          <cell r="A799" t="str">
            <v>F.</v>
          </cell>
          <cell r="C799" t="str">
            <v>HARGA SATUAN PEKERJAAN  ( D + E ) DIBULATKAN</v>
          </cell>
        </row>
        <row r="800">
          <cell r="A800" t="str">
            <v>Note: 1</v>
          </cell>
          <cell r="C800" t="str">
            <v>SATUAN dapat berdasarkan atas jam operasi untuk Tenaga Kerja dan Peralatan, volume dan/atau ukuran</v>
          </cell>
        </row>
        <row r="801">
          <cell r="C801" t="str">
            <v>berat untuk bahan-bahan.</v>
          </cell>
        </row>
        <row r="802">
          <cell r="A802">
            <v>2</v>
          </cell>
          <cell r="C802" t="str">
            <v>Kuantitas satuan adalah kuantitas setiap komponen untuk menyelesaikan satu satuan pekerjaan dari nomor</v>
          </cell>
        </row>
        <row r="803">
          <cell r="C803" t="str">
            <v>mata pembayaran.</v>
          </cell>
        </row>
        <row r="804">
          <cell r="A804">
            <v>3</v>
          </cell>
          <cell r="C804" t="str">
            <v>Biaya satuan untuk peralatan sudah termasuk bahan bakar, bahan habis dipakai dan operator.</v>
          </cell>
        </row>
        <row r="805">
          <cell r="A805">
            <v>4</v>
          </cell>
          <cell r="C805" t="str">
            <v>Biaya satuan sudah termasuk pengeluaran untuk seluruh pajak yang berkaitan (tetapi tidak termasuk PPN</v>
          </cell>
        </row>
        <row r="806">
          <cell r="C806" t="str">
            <v>yang dibayar dari kontrak) dan biaya-biaya lainnya.</v>
          </cell>
        </row>
        <row r="807">
          <cell r="J807" t="str">
            <v>Analisa EI-917</v>
          </cell>
        </row>
        <row r="809">
          <cell r="A809" t="str">
            <v>FORMULIR STANDAR UNTUK</v>
          </cell>
        </row>
        <row r="810">
          <cell r="A810" t="str">
            <v>PEREKAMAN ANALISA MASING-MASING HARGA SATUAN</v>
          </cell>
        </row>
        <row r="811">
          <cell r="A811">
            <v>0</v>
          </cell>
        </row>
        <row r="813">
          <cell r="A813" t="str">
            <v>Kegiatan</v>
          </cell>
          <cell r="D813" t="str">
            <v>: Pembangunan Jalan Dinas Bina Marga dan Cipta Karya Prov. NAD</v>
          </cell>
        </row>
        <row r="814">
          <cell r="A814" t="str">
            <v>Nama Paket</v>
          </cell>
          <cell r="D814" t="str">
            <v>: …………………………………………..</v>
          </cell>
        </row>
        <row r="815">
          <cell r="A815" t="str">
            <v>Nomor Paket</v>
          </cell>
          <cell r="D815" t="str">
            <v>: ……………………………………………</v>
          </cell>
        </row>
        <row r="816">
          <cell r="A816" t="str">
            <v>Tahun Anggaran</v>
          </cell>
          <cell r="D816" t="str">
            <v>: 2009</v>
          </cell>
        </row>
        <row r="817">
          <cell r="A817" t="str">
            <v>Prop / Kab / Kodya</v>
          </cell>
          <cell r="D817" t="str">
            <v>: .......................................................</v>
          </cell>
        </row>
        <row r="818">
          <cell r="A818" t="str">
            <v>ITEM PEMBAYARAN NO.</v>
          </cell>
          <cell r="D818" t="str">
            <v>:  9.1(17)</v>
          </cell>
          <cell r="H818" t="str">
            <v>PERKIRAAN VOL. PEK.</v>
          </cell>
          <cell r="J818" t="str">
            <v>:</v>
          </cell>
        </row>
        <row r="819">
          <cell r="A819" t="str">
            <v>JENIS PEKERJAAN</v>
          </cell>
          <cell r="D819" t="str">
            <v>:  PEKERJAAN HARIAN</v>
          </cell>
          <cell r="H819" t="str">
            <v>TOTAL HARGA (Rp.)</v>
          </cell>
          <cell r="J819" t="str">
            <v>:</v>
          </cell>
        </row>
        <row r="820">
          <cell r="E820" t="str">
            <v>COMPRESSOR 4000-6500 L\M</v>
          </cell>
          <cell r="H820" t="str">
            <v>% THD. BIAYA PROYEK</v>
          </cell>
          <cell r="J820" t="str">
            <v>:</v>
          </cell>
        </row>
        <row r="821">
          <cell r="A821" t="str">
            <v>SATUAN PEMBAYARAN</v>
          </cell>
          <cell r="D821" t="str">
            <v>:  JAM</v>
          </cell>
          <cell r="F821" t="str">
            <v>(E05)</v>
          </cell>
        </row>
        <row r="824">
          <cell r="G824" t="str">
            <v>PERKIRAAN</v>
          </cell>
          <cell r="H824" t="str">
            <v>HARGA</v>
          </cell>
          <cell r="I824" t="str">
            <v>JUMLAH</v>
          </cell>
        </row>
        <row r="825">
          <cell r="A825" t="str">
            <v>NO.</v>
          </cell>
          <cell r="C825" t="str">
            <v>KOMPONEN</v>
          </cell>
          <cell r="F825" t="str">
            <v>SATUAN</v>
          </cell>
          <cell r="G825" t="str">
            <v>KUANTITAS</v>
          </cell>
          <cell r="H825" t="str">
            <v>SATUAN</v>
          </cell>
          <cell r="I825" t="str">
            <v>HARGA</v>
          </cell>
        </row>
        <row r="826">
          <cell r="H826" t="str">
            <v>(Rp.)</v>
          </cell>
          <cell r="I826" t="str">
            <v>(Rp.)</v>
          </cell>
        </row>
        <row r="829">
          <cell r="A829" t="str">
            <v>A.</v>
          </cell>
          <cell r="C829" t="str">
            <v>PEKERJA</v>
          </cell>
        </row>
        <row r="831">
          <cell r="A831" t="str">
            <v>1.</v>
          </cell>
          <cell r="C831" t="str">
            <v>-</v>
          </cell>
          <cell r="G831" t="str">
            <v xml:space="preserve">-  </v>
          </cell>
          <cell r="H831" t="str">
            <v xml:space="preserve">-   </v>
          </cell>
          <cell r="K831" t="str">
            <v>-</v>
          </cell>
        </row>
        <row r="832">
          <cell r="A832" t="str">
            <v>2.</v>
          </cell>
          <cell r="C832" t="str">
            <v>-</v>
          </cell>
          <cell r="G832" t="str">
            <v xml:space="preserve">-  </v>
          </cell>
          <cell r="H832" t="str">
            <v xml:space="preserve">-   </v>
          </cell>
          <cell r="K832" t="str">
            <v>-</v>
          </cell>
        </row>
        <row r="837">
          <cell r="A837" t="str">
            <v>B.</v>
          </cell>
          <cell r="C837" t="str">
            <v>BAHAN</v>
          </cell>
        </row>
        <row r="839">
          <cell r="A839" t="str">
            <v>1.</v>
          </cell>
          <cell r="C839" t="str">
            <v>-</v>
          </cell>
          <cell r="G839" t="str">
            <v xml:space="preserve">-  </v>
          </cell>
          <cell r="H839" t="str">
            <v xml:space="preserve">-   </v>
          </cell>
          <cell r="K839" t="str">
            <v>-</v>
          </cell>
        </row>
        <row r="840">
          <cell r="A840" t="str">
            <v>2.</v>
          </cell>
          <cell r="C840" t="str">
            <v>-</v>
          </cell>
          <cell r="G840" t="str">
            <v xml:space="preserve">-  </v>
          </cell>
          <cell r="H840" t="str">
            <v xml:space="preserve">-   </v>
          </cell>
          <cell r="K840" t="str">
            <v>-</v>
          </cell>
        </row>
        <row r="848">
          <cell r="A848" t="str">
            <v>C.</v>
          </cell>
          <cell r="C848" t="str">
            <v>ALAT</v>
          </cell>
        </row>
        <row r="850">
          <cell r="A850" t="str">
            <v>1.</v>
          </cell>
          <cell r="C850" t="str">
            <v>COMPRESSOR 4000-6500 L\M</v>
          </cell>
          <cell r="F850" t="str">
            <v>jam</v>
          </cell>
        </row>
        <row r="851">
          <cell r="A851" t="str">
            <v>2.</v>
          </cell>
          <cell r="C851" t="str">
            <v>-</v>
          </cell>
          <cell r="F851" t="str">
            <v>jam</v>
          </cell>
          <cell r="G851" t="str">
            <v xml:space="preserve">-  </v>
          </cell>
          <cell r="H851" t="str">
            <v xml:space="preserve">-   </v>
          </cell>
          <cell r="K851" t="str">
            <v>-</v>
          </cell>
        </row>
        <row r="859">
          <cell r="A859" t="str">
            <v>D.</v>
          </cell>
          <cell r="C859" t="str">
            <v>JUMLAH HARGA TENAGA, BAHAN DAN ALAT  ( A + B + C )</v>
          </cell>
        </row>
        <row r="860">
          <cell r="A860" t="str">
            <v>E.</v>
          </cell>
          <cell r="C860" t="str">
            <v>OVERHEAD &amp; PROFIT</v>
          </cell>
          <cell r="F860">
            <v>10</v>
          </cell>
          <cell r="G860" t="str">
            <v>%  x  D</v>
          </cell>
        </row>
        <row r="861">
          <cell r="A861" t="str">
            <v>F.</v>
          </cell>
          <cell r="C861" t="str">
            <v>HARGA SATUAN PEKERJAAN  ( D + E ) DIBULATKAN</v>
          </cell>
        </row>
        <row r="862">
          <cell r="A862" t="str">
            <v>Note: 1</v>
          </cell>
          <cell r="C862" t="str">
            <v>SATUAN dapat berdasarkan atas jam operasi untuk Tenaga Kerja dan Peralatan, volume dan/atau ukuran</v>
          </cell>
        </row>
        <row r="863">
          <cell r="C863" t="str">
            <v>berat untuk bahan-bahan.</v>
          </cell>
        </row>
        <row r="864">
          <cell r="A864">
            <v>2</v>
          </cell>
          <cell r="C864" t="str">
            <v>Kuantitas satuan adalah kuantitas setiap komponen untuk menyelesaikan satu satuan pekerjaan dari nomor</v>
          </cell>
        </row>
        <row r="865">
          <cell r="C865" t="str">
            <v>mata pembayaran.</v>
          </cell>
        </row>
        <row r="866">
          <cell r="A866">
            <v>3</v>
          </cell>
          <cell r="C866" t="str">
            <v>Biaya satuan untuk peralatan sudah termasuk bahan bakar, bahan habis dipakai dan operator.</v>
          </cell>
        </row>
        <row r="867">
          <cell r="A867">
            <v>4</v>
          </cell>
          <cell r="C867" t="str">
            <v>Biaya satuan sudah termasuk pengeluaran untuk seluruh pajak yang berkaitan (tetapi tidak termasuk PPN</v>
          </cell>
        </row>
        <row r="868">
          <cell r="C868" t="str">
            <v>yang dibayar dari kontrak) dan biaya-biaya lainnya.</v>
          </cell>
        </row>
        <row r="869">
          <cell r="J869" t="str">
            <v>Analisa EI-918</v>
          </cell>
        </row>
        <row r="871">
          <cell r="A871" t="str">
            <v>FORMULIR STANDAR UNTUK</v>
          </cell>
        </row>
        <row r="872">
          <cell r="A872" t="str">
            <v>PEREKAMAN ANALISA MASING-MASING HARGA SATUAN</v>
          </cell>
        </row>
        <row r="873">
          <cell r="A873">
            <v>0</v>
          </cell>
        </row>
        <row r="875">
          <cell r="A875" t="str">
            <v>Kegiatan</v>
          </cell>
          <cell r="D875" t="str">
            <v>: Pembangunan Jalan Dinas Bina Marga dan Cipta Karya Prov. NAD</v>
          </cell>
        </row>
        <row r="876">
          <cell r="A876" t="str">
            <v>Nama Paket</v>
          </cell>
          <cell r="D876" t="str">
            <v>: …………………………………………..</v>
          </cell>
        </row>
        <row r="877">
          <cell r="A877" t="str">
            <v>Nomor Paket</v>
          </cell>
          <cell r="D877" t="str">
            <v>: ……………………………………………</v>
          </cell>
        </row>
        <row r="878">
          <cell r="A878" t="str">
            <v>Tahun Anggaran</v>
          </cell>
          <cell r="D878" t="str">
            <v>: 2009</v>
          </cell>
        </row>
        <row r="879">
          <cell r="A879" t="str">
            <v>Prop / Kab / Kodya</v>
          </cell>
          <cell r="D879" t="str">
            <v>: .......................................................</v>
          </cell>
        </row>
        <row r="880">
          <cell r="A880" t="str">
            <v>ITEM PEMBAYARAN NO.</v>
          </cell>
          <cell r="D880" t="str">
            <v>:  9.1(18)</v>
          </cell>
          <cell r="H880" t="str">
            <v>PERKIRAAN VOL. PEK.</v>
          </cell>
          <cell r="J880" t="str">
            <v>:</v>
          </cell>
        </row>
        <row r="881">
          <cell r="A881" t="str">
            <v>JENIS PEKERJAAN</v>
          </cell>
          <cell r="D881" t="str">
            <v>:  PEKERJAAN HARIAN</v>
          </cell>
          <cell r="H881" t="str">
            <v>TOTAL HARGA (Rp.)</v>
          </cell>
          <cell r="J881" t="str">
            <v>:</v>
          </cell>
        </row>
        <row r="882">
          <cell r="E882" t="str">
            <v>CONCRETE MIXER 0.3-0.6 M3</v>
          </cell>
          <cell r="H882" t="str">
            <v>% THD. BIAYA PROYEK</v>
          </cell>
          <cell r="J882" t="str">
            <v>:</v>
          </cell>
        </row>
        <row r="883">
          <cell r="A883" t="str">
            <v>SATUAN PEMBAYARAN</v>
          </cell>
          <cell r="D883" t="str">
            <v>:  JAM</v>
          </cell>
          <cell r="F883" t="str">
            <v>(E06)</v>
          </cell>
        </row>
        <row r="886">
          <cell r="G886" t="str">
            <v>PERKIRAAN</v>
          </cell>
          <cell r="H886" t="str">
            <v>HARGA</v>
          </cell>
          <cell r="I886" t="str">
            <v>JUMLAH</v>
          </cell>
        </row>
        <row r="887">
          <cell r="A887" t="str">
            <v>NO.</v>
          </cell>
          <cell r="C887" t="str">
            <v>KOMPONEN</v>
          </cell>
          <cell r="F887" t="str">
            <v>SATUAN</v>
          </cell>
          <cell r="G887" t="str">
            <v>KUANTITAS</v>
          </cell>
          <cell r="H887" t="str">
            <v>SATUAN</v>
          </cell>
          <cell r="I887" t="str">
            <v>HARGA</v>
          </cell>
        </row>
        <row r="888">
          <cell r="H888" t="str">
            <v>(Rp.)</v>
          </cell>
          <cell r="I888" t="str">
            <v>(Rp.)</v>
          </cell>
        </row>
        <row r="891">
          <cell r="A891" t="str">
            <v>A.</v>
          </cell>
          <cell r="C891" t="str">
            <v>PEKERJA</v>
          </cell>
        </row>
        <row r="893">
          <cell r="A893" t="str">
            <v>1.</v>
          </cell>
          <cell r="C893" t="str">
            <v>-</v>
          </cell>
          <cell r="G893" t="str">
            <v xml:space="preserve">-  </v>
          </cell>
          <cell r="H893" t="str">
            <v xml:space="preserve">-   </v>
          </cell>
          <cell r="K893" t="str">
            <v>-</v>
          </cell>
        </row>
        <row r="894">
          <cell r="A894" t="str">
            <v>2.</v>
          </cell>
          <cell r="C894" t="str">
            <v>-</v>
          </cell>
          <cell r="G894" t="str">
            <v xml:space="preserve">-  </v>
          </cell>
          <cell r="H894" t="str">
            <v xml:space="preserve">-   </v>
          </cell>
          <cell r="K894" t="str">
            <v>-</v>
          </cell>
        </row>
        <row r="899">
          <cell r="A899" t="str">
            <v>B.</v>
          </cell>
          <cell r="C899" t="str">
            <v>BAHAN</v>
          </cell>
        </row>
        <row r="901">
          <cell r="A901" t="str">
            <v>1.</v>
          </cell>
          <cell r="C901" t="str">
            <v>-</v>
          </cell>
          <cell r="G901" t="str">
            <v xml:space="preserve">-  </v>
          </cell>
          <cell r="H901" t="str">
            <v xml:space="preserve">-   </v>
          </cell>
          <cell r="K901" t="str">
            <v>-</v>
          </cell>
        </row>
        <row r="902">
          <cell r="A902" t="str">
            <v>2.</v>
          </cell>
          <cell r="C902" t="str">
            <v>-</v>
          </cell>
          <cell r="G902" t="str">
            <v xml:space="preserve">-  </v>
          </cell>
          <cell r="H902" t="str">
            <v xml:space="preserve">-   </v>
          </cell>
          <cell r="K902" t="str">
            <v>-</v>
          </cell>
        </row>
        <row r="910">
          <cell r="A910" t="str">
            <v>C.</v>
          </cell>
          <cell r="C910" t="str">
            <v>ALAT</v>
          </cell>
        </row>
        <row r="912">
          <cell r="A912" t="str">
            <v>1.</v>
          </cell>
          <cell r="C912" t="str">
            <v>CONCRETE MIXER 0.3-0.6 M3</v>
          </cell>
          <cell r="F912" t="str">
            <v>jam</v>
          </cell>
        </row>
        <row r="913">
          <cell r="A913" t="str">
            <v>2.</v>
          </cell>
          <cell r="C913" t="str">
            <v>-</v>
          </cell>
          <cell r="F913" t="str">
            <v>jam</v>
          </cell>
          <cell r="G913" t="str">
            <v xml:space="preserve">-  </v>
          </cell>
          <cell r="H913" t="str">
            <v xml:space="preserve">-   </v>
          </cell>
          <cell r="K913" t="str">
            <v>-</v>
          </cell>
        </row>
        <row r="921">
          <cell r="A921" t="str">
            <v>D.</v>
          </cell>
          <cell r="C921" t="str">
            <v>JUMLAH HARGA TENAGA, BAHAN DAN ALAT  ( A + B + C )</v>
          </cell>
        </row>
        <row r="922">
          <cell r="A922" t="str">
            <v>E.</v>
          </cell>
          <cell r="C922" t="str">
            <v>OVERHEAD &amp; PROFIT</v>
          </cell>
          <cell r="F922">
            <v>10</v>
          </cell>
          <cell r="G922" t="str">
            <v>%  x  D</v>
          </cell>
        </row>
        <row r="923">
          <cell r="A923" t="str">
            <v>F.</v>
          </cell>
          <cell r="C923" t="str">
            <v>HARGA SATUAN PEKERJAAN  ( D + E ) DIBULATKAN</v>
          </cell>
        </row>
        <row r="924">
          <cell r="A924" t="str">
            <v>Note: 1</v>
          </cell>
          <cell r="C924" t="str">
            <v>SATUAN dapat berdasarkan atas jam operasi untuk Tenaga Kerja dan Peralatan, volume dan/atau ukuran</v>
          </cell>
        </row>
        <row r="925">
          <cell r="C925" t="str">
            <v>berat untuk bahan-bahan.</v>
          </cell>
        </row>
        <row r="926">
          <cell r="A926">
            <v>2</v>
          </cell>
          <cell r="C926" t="str">
            <v>Kuantitas satuan adalah kuantitas setiap komponen untuk menyelesaikan satu satuan pekerjaan dari nomor</v>
          </cell>
        </row>
        <row r="927">
          <cell r="C927" t="str">
            <v>mata pembayaran.</v>
          </cell>
        </row>
        <row r="928">
          <cell r="A928">
            <v>3</v>
          </cell>
          <cell r="C928" t="str">
            <v>Biaya satuan untuk peralatan sudah termasuk bahan bakar, bahan habis dipakai dan operator.</v>
          </cell>
        </row>
        <row r="929">
          <cell r="A929">
            <v>4</v>
          </cell>
          <cell r="C929" t="str">
            <v>Biaya satuan sudah termasuk pengeluaran untuk seluruh pajak yang berkaitan (tetapi tidak termasuk PPN</v>
          </cell>
        </row>
        <row r="930">
          <cell r="C930" t="str">
            <v>yang dibayar dari kontrak) dan biaya-biaya lainnya.</v>
          </cell>
        </row>
        <row r="931">
          <cell r="J931" t="str">
            <v>Analisa EI-919</v>
          </cell>
        </row>
        <row r="933">
          <cell r="A933" t="str">
            <v>FORMULIR STANDAR UNTUK</v>
          </cell>
        </row>
        <row r="934">
          <cell r="A934" t="str">
            <v>PEREKAMAN ANALISA MASING-MASING HARGA SATUAN</v>
          </cell>
        </row>
        <row r="935">
          <cell r="A935">
            <v>0</v>
          </cell>
        </row>
        <row r="937">
          <cell r="A937" t="str">
            <v>Kegiatan</v>
          </cell>
          <cell r="D937" t="str">
            <v>: Pembangunan Jalan Dinas Bina Marga dan Cipta Karya Prov. NAD</v>
          </cell>
        </row>
        <row r="938">
          <cell r="A938" t="str">
            <v>Nama Paket</v>
          </cell>
          <cell r="D938" t="str">
            <v>: …………………………………………..</v>
          </cell>
        </row>
        <row r="939">
          <cell r="A939" t="str">
            <v>Nomor Paket</v>
          </cell>
          <cell r="D939" t="str">
            <v>: ……………………………………………</v>
          </cell>
        </row>
        <row r="940">
          <cell r="A940" t="str">
            <v>Tahun Anggaran</v>
          </cell>
          <cell r="D940" t="str">
            <v>: 2009</v>
          </cell>
        </row>
        <row r="941">
          <cell r="A941" t="str">
            <v>Prop / Kab / Kodya</v>
          </cell>
          <cell r="D941" t="str">
            <v>: .......................................................</v>
          </cell>
        </row>
        <row r="942">
          <cell r="A942" t="str">
            <v>ITEM PEMBAYARAN NO.</v>
          </cell>
          <cell r="D942" t="str">
            <v>:  9.1(19)</v>
          </cell>
          <cell r="H942" t="str">
            <v>PERKIRAAN VOL. PEK.</v>
          </cell>
          <cell r="J942" t="str">
            <v>:</v>
          </cell>
        </row>
        <row r="943">
          <cell r="A943" t="str">
            <v>JENIS PEKERJAAN</v>
          </cell>
          <cell r="D943" t="str">
            <v>:  PEKERJAAN HARIAN</v>
          </cell>
          <cell r="H943" t="str">
            <v>TOTAL HARGA (Rp.)</v>
          </cell>
          <cell r="J943" t="str">
            <v>:</v>
          </cell>
        </row>
        <row r="944">
          <cell r="E944" t="str">
            <v>WATER PUMP 70-100 mm</v>
          </cell>
          <cell r="H944" t="str">
            <v>% THD. BIAYA PROYEK</v>
          </cell>
          <cell r="J944" t="str">
            <v>:</v>
          </cell>
        </row>
        <row r="945">
          <cell r="A945" t="str">
            <v>SATUAN PEMBAYARAN</v>
          </cell>
          <cell r="D945" t="str">
            <v>:  JAM</v>
          </cell>
          <cell r="F945" t="str">
            <v>(E22)</v>
          </cell>
        </row>
        <row r="948">
          <cell r="G948" t="str">
            <v>PERKIRAAN</v>
          </cell>
          <cell r="H948" t="str">
            <v>HARGA</v>
          </cell>
          <cell r="I948" t="str">
            <v>JUMLAH</v>
          </cell>
        </row>
        <row r="949">
          <cell r="A949" t="str">
            <v>NO.</v>
          </cell>
          <cell r="C949" t="str">
            <v>KOMPONEN</v>
          </cell>
          <cell r="F949" t="str">
            <v>SATUAN</v>
          </cell>
          <cell r="G949" t="str">
            <v>KUANTITAS</v>
          </cell>
          <cell r="H949" t="str">
            <v>SATUAN</v>
          </cell>
          <cell r="I949" t="str">
            <v>HARGA</v>
          </cell>
        </row>
        <row r="950">
          <cell r="H950" t="str">
            <v>(Rp.)</v>
          </cell>
          <cell r="I950" t="str">
            <v>(Rp.)</v>
          </cell>
        </row>
        <row r="953">
          <cell r="A953" t="str">
            <v>A.</v>
          </cell>
          <cell r="C953" t="str">
            <v>PEKERJA</v>
          </cell>
        </row>
        <row r="955">
          <cell r="A955" t="str">
            <v>1.</v>
          </cell>
          <cell r="C955" t="str">
            <v>-</v>
          </cell>
          <cell r="G955" t="str">
            <v xml:space="preserve">-  </v>
          </cell>
          <cell r="H955" t="str">
            <v xml:space="preserve">-   </v>
          </cell>
          <cell r="K955" t="str">
            <v>-</v>
          </cell>
        </row>
        <row r="956">
          <cell r="A956" t="str">
            <v>2.</v>
          </cell>
          <cell r="C956" t="str">
            <v>-</v>
          </cell>
          <cell r="G956" t="str">
            <v xml:space="preserve">-  </v>
          </cell>
          <cell r="H956" t="str">
            <v xml:space="preserve">-   </v>
          </cell>
          <cell r="K956" t="str">
            <v>-</v>
          </cell>
        </row>
        <row r="961">
          <cell r="A961" t="str">
            <v>B.</v>
          </cell>
          <cell r="C961" t="str">
            <v>BAHAN</v>
          </cell>
        </row>
        <row r="963">
          <cell r="A963" t="str">
            <v>1.</v>
          </cell>
          <cell r="C963" t="str">
            <v>-</v>
          </cell>
          <cell r="G963" t="str">
            <v xml:space="preserve">-  </v>
          </cell>
          <cell r="H963" t="str">
            <v xml:space="preserve">-   </v>
          </cell>
          <cell r="K963" t="str">
            <v>-</v>
          </cell>
        </row>
        <row r="964">
          <cell r="A964" t="str">
            <v>2.</v>
          </cell>
          <cell r="C964" t="str">
            <v>-</v>
          </cell>
          <cell r="G964" t="str">
            <v xml:space="preserve">-  </v>
          </cell>
          <cell r="H964" t="str">
            <v xml:space="preserve">-   </v>
          </cell>
          <cell r="K964" t="str">
            <v>-</v>
          </cell>
        </row>
        <row r="972">
          <cell r="A972" t="str">
            <v>C.</v>
          </cell>
          <cell r="C972" t="str">
            <v>ALAT</v>
          </cell>
        </row>
        <row r="974">
          <cell r="A974" t="str">
            <v>1.</v>
          </cell>
          <cell r="C974" t="str">
            <v>WATER PUMP 70-100 mm</v>
          </cell>
          <cell r="F974" t="str">
            <v>jam</v>
          </cell>
        </row>
        <row r="975">
          <cell r="A975" t="str">
            <v>2.</v>
          </cell>
          <cell r="C975" t="str">
            <v>-</v>
          </cell>
          <cell r="F975" t="str">
            <v>jam</v>
          </cell>
          <cell r="G975" t="str">
            <v xml:space="preserve">-  </v>
          </cell>
          <cell r="H975" t="str">
            <v xml:space="preserve">-   </v>
          </cell>
          <cell r="K975" t="str">
            <v>-</v>
          </cell>
        </row>
        <row r="983">
          <cell r="A983" t="str">
            <v>D.</v>
          </cell>
          <cell r="C983" t="str">
            <v>JUMLAH HARGA TENAGA, BAHAN DAN ALAT  ( A + B + C )</v>
          </cell>
        </row>
        <row r="984">
          <cell r="A984" t="str">
            <v>E.</v>
          </cell>
          <cell r="C984" t="str">
            <v>OVERHEAD &amp; PROFIT</v>
          </cell>
          <cell r="F984">
            <v>10</v>
          </cell>
          <cell r="G984" t="str">
            <v>%  x  D</v>
          </cell>
        </row>
        <row r="985">
          <cell r="A985" t="str">
            <v>F.</v>
          </cell>
          <cell r="C985" t="str">
            <v>HARGA SATUAN PEKERJAAN  ( D + E ) DIBULATKAN</v>
          </cell>
        </row>
        <row r="986">
          <cell r="A986" t="str">
            <v>Note: 1</v>
          </cell>
          <cell r="C986" t="str">
            <v>SATUAN dapat berdasarkan atas jam operasi untuk Tenaga Kerja dan Peralatan, volume dan/atau ukuran</v>
          </cell>
        </row>
        <row r="987">
          <cell r="C987" t="str">
            <v>berat untuk bahan-bahan.</v>
          </cell>
        </row>
        <row r="988">
          <cell r="A988">
            <v>2</v>
          </cell>
          <cell r="C988" t="str">
            <v>Kuantitas satuan adalah kuantitas setiap komponen untuk menyelesaikan satu satuan pekerjaan dari nomor</v>
          </cell>
        </row>
        <row r="989">
          <cell r="C989" t="str">
            <v>mata pembayaran.</v>
          </cell>
        </row>
        <row r="990">
          <cell r="A990">
            <v>3</v>
          </cell>
          <cell r="C990" t="str">
            <v>Biaya satuan untuk peralatan sudah termasuk bahan bakar, bahan habis dipakai dan operator.</v>
          </cell>
        </row>
        <row r="991">
          <cell r="A991">
            <v>4</v>
          </cell>
          <cell r="C991" t="str">
            <v>Biaya satuan sudah termasuk pengeluaran untuk seluruh pajak yang berkaitan (tetapi tidak termasuk PPN</v>
          </cell>
        </row>
        <row r="992">
          <cell r="C992" t="str">
            <v>yang dibayar dari kontrak) dan biaya-biaya lainnya.</v>
          </cell>
        </row>
        <row r="993">
          <cell r="J993" t="str">
            <v>Analisa EI-920</v>
          </cell>
        </row>
        <row r="995">
          <cell r="A995" t="str">
            <v>FORMULIR STANDAR UNTUK</v>
          </cell>
        </row>
        <row r="996">
          <cell r="A996" t="str">
            <v>PEREKAMAN ANALISA MASING-MASING HARGA SATUAN</v>
          </cell>
        </row>
        <row r="997">
          <cell r="A997">
            <v>0</v>
          </cell>
        </row>
        <row r="999">
          <cell r="A999" t="str">
            <v>Kegiatan</v>
          </cell>
          <cell r="D999" t="str">
            <v>: Pembangunan Jalan Dinas Bina Marga dan Cipta Karya Prov. NAD</v>
          </cell>
        </row>
        <row r="1000">
          <cell r="A1000" t="str">
            <v>Nama Paket</v>
          </cell>
          <cell r="D1000" t="str">
            <v>: …………………………………………..</v>
          </cell>
        </row>
        <row r="1001">
          <cell r="A1001" t="str">
            <v>Nomor Paket</v>
          </cell>
          <cell r="D1001" t="str">
            <v>: ……………………………………………</v>
          </cell>
        </row>
        <row r="1002">
          <cell r="A1002" t="str">
            <v>Tahun Anggaran</v>
          </cell>
          <cell r="D1002" t="str">
            <v>: 2009</v>
          </cell>
        </row>
        <row r="1003">
          <cell r="A1003" t="str">
            <v>Prop / Kab / Kodya</v>
          </cell>
          <cell r="D1003" t="str">
            <v>: .......................................................</v>
          </cell>
        </row>
        <row r="1004">
          <cell r="A1004" t="str">
            <v>ITEM PEMBAYARAN NO.</v>
          </cell>
          <cell r="D1004" t="str">
            <v>:  9.1(20)</v>
          </cell>
          <cell r="H1004" t="str">
            <v>PERKIRAAN VOL. PEK.</v>
          </cell>
          <cell r="J1004" t="str">
            <v>:</v>
          </cell>
        </row>
        <row r="1005">
          <cell r="A1005" t="str">
            <v>JENIS PEKERJAAN</v>
          </cell>
          <cell r="D1005" t="str">
            <v>:  PEKERJAAN HARIAN</v>
          </cell>
          <cell r="H1005" t="str">
            <v>TOTAL HARGA (Rp.)</v>
          </cell>
          <cell r="J1005" t="str">
            <v>:</v>
          </cell>
        </row>
        <row r="1006">
          <cell r="E1006" t="str">
            <v>JACK HAMMER</v>
          </cell>
          <cell r="H1006" t="str">
            <v>% THD. BIAYA PROYEK</v>
          </cell>
          <cell r="J1006" t="str">
            <v>:</v>
          </cell>
        </row>
        <row r="1007">
          <cell r="A1007" t="str">
            <v>SATUAN PEMBAYARAN</v>
          </cell>
          <cell r="D1007" t="str">
            <v>:  JAM</v>
          </cell>
          <cell r="F1007" t="str">
            <v>E26</v>
          </cell>
        </row>
        <row r="1010">
          <cell r="G1010" t="str">
            <v>PERKIRAAN</v>
          </cell>
          <cell r="H1010" t="str">
            <v>HARGA</v>
          </cell>
          <cell r="I1010" t="str">
            <v>JUMLAH</v>
          </cell>
        </row>
        <row r="1011">
          <cell r="A1011" t="str">
            <v>NO.</v>
          </cell>
          <cell r="C1011" t="str">
            <v>KOMPONEN</v>
          </cell>
          <cell r="F1011" t="str">
            <v>SATUAN</v>
          </cell>
          <cell r="G1011" t="str">
            <v>KUANTITAS</v>
          </cell>
          <cell r="H1011" t="str">
            <v>SATUAN</v>
          </cell>
          <cell r="I1011" t="str">
            <v>HARGA</v>
          </cell>
        </row>
        <row r="1012">
          <cell r="H1012" t="str">
            <v>(Rp.)</v>
          </cell>
          <cell r="I1012" t="str">
            <v>(Rp.)</v>
          </cell>
        </row>
        <row r="1015">
          <cell r="A1015" t="str">
            <v>A.</v>
          </cell>
          <cell r="C1015" t="str">
            <v>PEKERJA</v>
          </cell>
        </row>
        <row r="1017">
          <cell r="A1017" t="str">
            <v>1.</v>
          </cell>
          <cell r="C1017" t="str">
            <v>-</v>
          </cell>
          <cell r="G1017" t="str">
            <v xml:space="preserve">-  </v>
          </cell>
          <cell r="H1017" t="str">
            <v xml:space="preserve">-   </v>
          </cell>
          <cell r="K1017" t="str">
            <v>-</v>
          </cell>
        </row>
        <row r="1018">
          <cell r="A1018" t="str">
            <v>2.</v>
          </cell>
          <cell r="C1018" t="str">
            <v>-</v>
          </cell>
          <cell r="G1018" t="str">
            <v xml:space="preserve">-  </v>
          </cell>
          <cell r="H1018" t="str">
            <v xml:space="preserve">-   </v>
          </cell>
          <cell r="K1018" t="str">
            <v>-</v>
          </cell>
        </row>
        <row r="1023">
          <cell r="A1023" t="str">
            <v>B.</v>
          </cell>
          <cell r="C1023" t="str">
            <v>BAHAN</v>
          </cell>
        </row>
        <row r="1025">
          <cell r="A1025" t="str">
            <v>1.</v>
          </cell>
          <cell r="C1025" t="str">
            <v>-</v>
          </cell>
          <cell r="G1025" t="str">
            <v xml:space="preserve">-  </v>
          </cell>
          <cell r="H1025" t="str">
            <v xml:space="preserve">-   </v>
          </cell>
          <cell r="K1025" t="str">
            <v>-</v>
          </cell>
        </row>
        <row r="1026">
          <cell r="A1026" t="str">
            <v>2.</v>
          </cell>
          <cell r="C1026" t="str">
            <v>-</v>
          </cell>
          <cell r="G1026" t="str">
            <v xml:space="preserve">-  </v>
          </cell>
          <cell r="H1026" t="str">
            <v xml:space="preserve">-   </v>
          </cell>
          <cell r="K1026" t="str">
            <v>-</v>
          </cell>
        </row>
        <row r="1034">
          <cell r="A1034" t="str">
            <v>C.</v>
          </cell>
          <cell r="C1034" t="str">
            <v>ALAT</v>
          </cell>
        </row>
        <row r="1036">
          <cell r="A1036" t="str">
            <v>1.</v>
          </cell>
          <cell r="C1036" t="str">
            <v>JACK HAMMER</v>
          </cell>
          <cell r="F1036" t="str">
            <v>jam</v>
          </cell>
        </row>
        <row r="1037">
          <cell r="A1037" t="str">
            <v>2.</v>
          </cell>
          <cell r="C1037" t="str">
            <v>-</v>
          </cell>
          <cell r="F1037" t="str">
            <v>jam</v>
          </cell>
          <cell r="G1037" t="str">
            <v xml:space="preserve">-  </v>
          </cell>
          <cell r="H1037" t="str">
            <v xml:space="preserve">-   </v>
          </cell>
          <cell r="K1037" t="str">
            <v>-</v>
          </cell>
        </row>
        <row r="1045">
          <cell r="A1045" t="str">
            <v>D.</v>
          </cell>
          <cell r="C1045" t="str">
            <v>JUMLAH HARGA TENAGA, BAHAN DAN ALAT  ( A + B + C )</v>
          </cell>
        </row>
        <row r="1046">
          <cell r="A1046" t="str">
            <v>E.</v>
          </cell>
          <cell r="C1046" t="str">
            <v>OVERHEAD &amp; PROFIT</v>
          </cell>
          <cell r="F1046">
            <v>10</v>
          </cell>
          <cell r="G1046" t="str">
            <v>%  x  D</v>
          </cell>
        </row>
        <row r="1047">
          <cell r="A1047" t="str">
            <v>F.</v>
          </cell>
          <cell r="C1047" t="str">
            <v>HARGA SATUAN PEKERJAAN  ( D + E ) DIBULATKAN</v>
          </cell>
        </row>
        <row r="1048">
          <cell r="A1048" t="str">
            <v>Note: 1</v>
          </cell>
          <cell r="C1048" t="str">
            <v>SATUAN dapat berdasarkan atas jam operasi untuk Tenaga Kerja dan Peralatan, volume dan/atau ukuran</v>
          </cell>
        </row>
        <row r="1049">
          <cell r="C1049" t="str">
            <v>berat untuk bahan-bahan.</v>
          </cell>
        </row>
        <row r="1050">
          <cell r="A1050">
            <v>2</v>
          </cell>
          <cell r="C1050" t="str">
            <v>Kuantitas satuan adalah kuantitas setiap komponen untuk menyelesaikan satu satuan pekerjaan dari nomor</v>
          </cell>
        </row>
        <row r="1051">
          <cell r="C1051" t="str">
            <v>mata pembayaran.</v>
          </cell>
        </row>
        <row r="1052">
          <cell r="A1052">
            <v>3</v>
          </cell>
          <cell r="C1052" t="str">
            <v>Biaya satuan untuk peralatan sudah termasuk bahan bakar, bahan habis dipakai dan operator.</v>
          </cell>
        </row>
        <row r="1053">
          <cell r="A1053">
            <v>4</v>
          </cell>
          <cell r="C1053" t="str">
            <v>Biaya satuan sudah termasuk pengeluaran untuk seluruh pajak yang berkaitan (tetapi tidak termasuk PPN</v>
          </cell>
        </row>
        <row r="1054">
          <cell r="C1054" t="str">
            <v>yang dibayar dari kontrak) dan biaya-biaya lainnya.</v>
          </cell>
        </row>
      </sheetData>
      <sheetData sheetId="23">
        <row r="1">
          <cell r="I1" t="str">
            <v>Analisa EI-1011</v>
          </cell>
        </row>
        <row r="3">
          <cell r="A3" t="str">
            <v>FORMULIR STANDAR UNTUK</v>
          </cell>
        </row>
        <row r="4">
          <cell r="A4" t="str">
            <v>PEREKAMAN ANALISA MASING-MASING HARGA SATUAN</v>
          </cell>
        </row>
        <row r="5">
          <cell r="A5">
            <v>0</v>
          </cell>
        </row>
        <row r="7">
          <cell r="A7" t="str">
            <v>Kegiatan</v>
          </cell>
          <cell r="D7" t="str">
            <v>: Pembangunan Jalan Dinas Bina Marga dan Cipta Karya Prov. NAD</v>
          </cell>
        </row>
        <row r="8">
          <cell r="A8" t="str">
            <v>Nama Paket</v>
          </cell>
          <cell r="D8" t="str">
            <v>: …………………………………………..</v>
          </cell>
        </row>
        <row r="9">
          <cell r="A9" t="str">
            <v>Nomor Paket</v>
          </cell>
          <cell r="D9" t="str">
            <v>: ……………………………………………</v>
          </cell>
        </row>
        <row r="10">
          <cell r="A10" t="str">
            <v>Tahun Anggaran</v>
          </cell>
          <cell r="D10" t="str">
            <v>: 2009</v>
          </cell>
        </row>
        <row r="11">
          <cell r="A11" t="str">
            <v>Prop / Kab / Kodya</v>
          </cell>
          <cell r="D11" t="str">
            <v>: .......................................................</v>
          </cell>
        </row>
        <row r="12">
          <cell r="A12" t="str">
            <v>ITEM PEMBAYARAN NO.</v>
          </cell>
          <cell r="D12" t="str">
            <v>: 10.1 (1)</v>
          </cell>
        </row>
        <row r="13">
          <cell r="A13" t="str">
            <v>JENIS PEKERJAAN</v>
          </cell>
          <cell r="D13" t="str">
            <v>: Pemeliharaan Rutin Perkerasan</v>
          </cell>
        </row>
        <row r="14">
          <cell r="A14" t="str">
            <v>SATUAN PEMBAYARAN</v>
          </cell>
          <cell r="D14" t="str">
            <v>: Lump Sum / Bulan</v>
          </cell>
          <cell r="G14" t="str">
            <v>% THD. BIAYA PROYEK</v>
          </cell>
          <cell r="I14" t="str">
            <v>:</v>
          </cell>
        </row>
        <row r="17">
          <cell r="F17" t="str">
            <v>PERKIRAAN</v>
          </cell>
          <cell r="G17" t="str">
            <v>HARGA</v>
          </cell>
          <cell r="H17" t="str">
            <v>JUMLAH</v>
          </cell>
        </row>
        <row r="18">
          <cell r="A18" t="str">
            <v>NO.</v>
          </cell>
          <cell r="C18" t="str">
            <v>KOMPONEN</v>
          </cell>
          <cell r="E18" t="str">
            <v>SATUAN</v>
          </cell>
          <cell r="F18" t="str">
            <v>KUANTITAS</v>
          </cell>
          <cell r="G18" t="str">
            <v>SATUAN</v>
          </cell>
          <cell r="H18" t="str">
            <v>HARGA</v>
          </cell>
        </row>
        <row r="19">
          <cell r="G19" t="str">
            <v>(Rp.)</v>
          </cell>
          <cell r="H19" t="str">
            <v>(Rp.)</v>
          </cell>
        </row>
        <row r="22">
          <cell r="A22" t="str">
            <v>A.</v>
          </cell>
          <cell r="C22" t="str">
            <v>TENAGA</v>
          </cell>
        </row>
        <row r="24">
          <cell r="A24" t="str">
            <v>1.</v>
          </cell>
          <cell r="C24" t="str">
            <v>Pekerja</v>
          </cell>
          <cell r="D24" t="str">
            <v>(L01)</v>
          </cell>
          <cell r="E24" t="str">
            <v>Jam</v>
          </cell>
        </row>
        <row r="25">
          <cell r="A25" t="str">
            <v>2.</v>
          </cell>
          <cell r="C25" t="str">
            <v>Mandor</v>
          </cell>
          <cell r="D25" t="str">
            <v>(L03)</v>
          </cell>
          <cell r="E25" t="str">
            <v>Jam</v>
          </cell>
        </row>
        <row r="28">
          <cell r="F28" t="str">
            <v xml:space="preserve">JUMLAH HARGA TENAGA   </v>
          </cell>
        </row>
        <row r="30">
          <cell r="A30" t="str">
            <v>B.</v>
          </cell>
          <cell r="C30" t="str">
            <v>BAHAN</v>
          </cell>
        </row>
        <row r="32">
          <cell r="A32" t="str">
            <v>1.</v>
          </cell>
          <cell r="C32" t="str">
            <v>Camp. Aspal Panas</v>
          </cell>
          <cell r="E32" t="str">
            <v>M3</v>
          </cell>
          <cell r="F32">
            <v>1.6</v>
          </cell>
        </row>
        <row r="33">
          <cell r="A33" t="str">
            <v>2.</v>
          </cell>
          <cell r="C33" t="str">
            <v>Camp. Aspal Dingin</v>
          </cell>
          <cell r="E33" t="str">
            <v>M3</v>
          </cell>
          <cell r="F33">
            <v>1.6</v>
          </cell>
        </row>
        <row r="34">
          <cell r="A34" t="str">
            <v>3.</v>
          </cell>
          <cell r="C34" t="str">
            <v>Aspal Pengisian Retak</v>
          </cell>
          <cell r="E34" t="str">
            <v>Liter</v>
          </cell>
          <cell r="F34">
            <v>150</v>
          </cell>
        </row>
        <row r="35">
          <cell r="A35" t="str">
            <v>4.</v>
          </cell>
          <cell r="C35" t="str">
            <v>Bahan-bahan lainnya</v>
          </cell>
          <cell r="E35" t="str">
            <v>LS</v>
          </cell>
          <cell r="F35">
            <v>1</v>
          </cell>
        </row>
        <row r="38">
          <cell r="F38" t="str">
            <v xml:space="preserve">JUMLAH HARGA BAHAN   </v>
          </cell>
        </row>
        <row r="40">
          <cell r="A40" t="str">
            <v>C.</v>
          </cell>
          <cell r="C40" t="str">
            <v>PERALATAN</v>
          </cell>
        </row>
        <row r="42">
          <cell r="A42" t="str">
            <v>1.</v>
          </cell>
          <cell r="C42" t="str">
            <v>Motor Grader</v>
          </cell>
          <cell r="D42" t="str">
            <v>(E13)</v>
          </cell>
          <cell r="E42" t="str">
            <v>Jam</v>
          </cell>
        </row>
        <row r="43">
          <cell r="A43" t="str">
            <v>2.</v>
          </cell>
          <cell r="C43" t="str">
            <v>Flat Bed Truck    (E11)</v>
          </cell>
          <cell r="E43" t="str">
            <v>Jam</v>
          </cell>
        </row>
        <row r="44">
          <cell r="A44" t="str">
            <v>3.</v>
          </cell>
          <cell r="C44" t="str">
            <v>Air Compressor   (E05)</v>
          </cell>
          <cell r="E44" t="str">
            <v>Jam</v>
          </cell>
        </row>
        <row r="50">
          <cell r="F50" t="str">
            <v xml:space="preserve">JUMLAH HARGA PERALATAN </v>
          </cell>
        </row>
        <row r="52">
          <cell r="A52" t="str">
            <v>D.</v>
          </cell>
          <cell r="C52" t="str">
            <v>Jumlah harga Tenaga, Bahan dan Peralatan  :  ( A + B + C )</v>
          </cell>
        </row>
        <row r="53">
          <cell r="A53" t="str">
            <v>E.</v>
          </cell>
          <cell r="C53" t="str">
            <v>Over Head and Profit  :</v>
          </cell>
          <cell r="E53">
            <v>10</v>
          </cell>
          <cell r="F53" t="str">
            <v>%  x  D</v>
          </cell>
        </row>
        <row r="54">
          <cell r="A54" t="str">
            <v>F.</v>
          </cell>
          <cell r="C54" t="str">
            <v>Harga Lump Sum  :  ( D + E ) Dibulatkan</v>
          </cell>
        </row>
        <row r="55">
          <cell r="A55" t="str">
            <v>G.</v>
          </cell>
          <cell r="C55" t="str">
            <v>Harga Lump Sum / bulan untuk 3 bulan pertama  :  F / 8</v>
          </cell>
        </row>
        <row r="56">
          <cell r="A56" t="str">
            <v>H.</v>
          </cell>
          <cell r="C56" t="str">
            <v>Harga Lump Sum / bulan untuk sisanya selama Periode Pelaksanaan</v>
          </cell>
        </row>
        <row r="57">
          <cell r="C57" t="str">
            <v>=  5/8 x { F / (Periode Pelaksanaan - 3) }</v>
          </cell>
        </row>
        <row r="58">
          <cell r="A58" t="str">
            <v>Note: 1</v>
          </cell>
          <cell r="C58" t="str">
            <v>Perkiraan kuantitas yang dicantumkan harus diperkirakan mendekati kondisi sebenarnya.</v>
          </cell>
        </row>
        <row r="59">
          <cell r="A59">
            <v>2</v>
          </cell>
          <cell r="C59" t="str">
            <v>Harga Lump Sum harus mencakup seluruh pajak yang berkaitan (tapi tidak termasuk PPN yang dibayarkan</v>
          </cell>
        </row>
        <row r="60">
          <cell r="C60" t="str">
            <v>dari Kontrak), bahan-bahan tambahan, tenaga kerja atau peralatan yang mungkin diperlukan.</v>
          </cell>
        </row>
        <row r="61">
          <cell r="A61">
            <v>3</v>
          </cell>
          <cell r="C61" t="str">
            <v>Pekerjaan dan kuantitas yang ditunjukkan di atas adalah perkiraan semata yang menjadi dasar penetapan Mata</v>
          </cell>
        </row>
        <row r="62">
          <cell r="C62" t="str">
            <v>Pembayaran Pekerjaan Pemeliharaan Rutin ini. Pelaksanaan pemeliharaan kondisi jalan dilakukan sesuai</v>
          </cell>
        </row>
        <row r="63">
          <cell r="C63" t="str">
            <v>ketentuan dalam Spesifikasi yang tidak perlu dikaitkan dengan kuantitas yang ditunjukkan dalam Analisa ini.</v>
          </cell>
        </row>
        <row r="66">
          <cell r="I66" t="str">
            <v>Analisa EI-1012</v>
          </cell>
        </row>
        <row r="68">
          <cell r="A68" t="str">
            <v>FORMULIR STANDAR UNTUK</v>
          </cell>
        </row>
        <row r="69">
          <cell r="A69" t="str">
            <v>PEREKAMAN ANALISA MASING-MASING HARGA SATUAN</v>
          </cell>
        </row>
        <row r="70">
          <cell r="A70">
            <v>0</v>
          </cell>
        </row>
        <row r="72">
          <cell r="A72" t="str">
            <v>Kegiatan</v>
          </cell>
          <cell r="D72" t="str">
            <v>: Pembangunan Jalan Dinas Bina Marga dan Cipta Karya Prov. NAD</v>
          </cell>
        </row>
        <row r="73">
          <cell r="A73" t="str">
            <v>Nama Paket</v>
          </cell>
          <cell r="D73" t="str">
            <v>: …………………………………………..</v>
          </cell>
        </row>
        <row r="74">
          <cell r="A74" t="str">
            <v>Nomor Paket</v>
          </cell>
          <cell r="D74" t="str">
            <v>: ……………………………………………</v>
          </cell>
        </row>
        <row r="75">
          <cell r="A75" t="str">
            <v>Tahun Anggaran</v>
          </cell>
          <cell r="D75" t="str">
            <v>: 2009</v>
          </cell>
        </row>
        <row r="76">
          <cell r="A76" t="str">
            <v>Prop / Kab / Kodya</v>
          </cell>
          <cell r="D76" t="str">
            <v>: .......................................................</v>
          </cell>
        </row>
        <row r="77">
          <cell r="A77" t="str">
            <v>ITEM PEMBAYARAN NO.</v>
          </cell>
          <cell r="D77" t="str">
            <v>: 10.1 (2)</v>
          </cell>
        </row>
        <row r="78">
          <cell r="A78" t="str">
            <v>JENIS PEKERJAAN</v>
          </cell>
          <cell r="D78" t="str">
            <v>: Pemeliharaan Rutin Bahu Jalan</v>
          </cell>
        </row>
        <row r="79">
          <cell r="A79" t="str">
            <v>SATUAN PEMBAYARAN</v>
          </cell>
          <cell r="D79" t="str">
            <v>: Lump Sum / Bulan</v>
          </cell>
          <cell r="G79" t="str">
            <v>% THD. BIAYA PROYEK</v>
          </cell>
          <cell r="I79" t="str">
            <v>:</v>
          </cell>
        </row>
        <row r="82">
          <cell r="F82" t="str">
            <v>PERKIRAAN</v>
          </cell>
          <cell r="G82" t="str">
            <v>HARGA</v>
          </cell>
          <cell r="H82" t="str">
            <v>JUMLAH</v>
          </cell>
        </row>
        <row r="83">
          <cell r="A83" t="str">
            <v>NO.</v>
          </cell>
          <cell r="C83" t="str">
            <v>KOMPONEN</v>
          </cell>
          <cell r="E83" t="str">
            <v>SATUAN</v>
          </cell>
          <cell r="F83" t="str">
            <v>KUANTITAS</v>
          </cell>
          <cell r="G83" t="str">
            <v>SATUAN</v>
          </cell>
          <cell r="H83" t="str">
            <v>HARGA</v>
          </cell>
        </row>
        <row r="84">
          <cell r="G84" t="str">
            <v>(Rp.)</v>
          </cell>
          <cell r="H84" t="str">
            <v>(Rp.)</v>
          </cell>
        </row>
        <row r="87">
          <cell r="A87" t="str">
            <v>A.</v>
          </cell>
          <cell r="C87" t="str">
            <v>TENAGA</v>
          </cell>
        </row>
        <row r="89">
          <cell r="A89" t="str">
            <v>1.</v>
          </cell>
          <cell r="C89" t="str">
            <v>Pekerja</v>
          </cell>
          <cell r="D89" t="str">
            <v>(L01)</v>
          </cell>
          <cell r="E89" t="str">
            <v>Jam</v>
          </cell>
        </row>
        <row r="90">
          <cell r="A90" t="str">
            <v>2.</v>
          </cell>
          <cell r="C90" t="str">
            <v>Mandor</v>
          </cell>
          <cell r="D90" t="str">
            <v>(L03)</v>
          </cell>
          <cell r="E90" t="str">
            <v>Jam</v>
          </cell>
        </row>
        <row r="93">
          <cell r="F93" t="str">
            <v xml:space="preserve">JUMLAH HARGA TENAGA   </v>
          </cell>
        </row>
        <row r="95">
          <cell r="A95" t="str">
            <v>B.</v>
          </cell>
          <cell r="C95" t="str">
            <v>BAHAN</v>
          </cell>
        </row>
        <row r="97">
          <cell r="A97" t="str">
            <v>1.</v>
          </cell>
          <cell r="C97" t="str">
            <v>Lap.Pond.Agg.Kelas B</v>
          </cell>
          <cell r="E97" t="str">
            <v>M3</v>
          </cell>
          <cell r="F97">
            <v>0</v>
          </cell>
        </row>
        <row r="98">
          <cell r="A98" t="str">
            <v>2.</v>
          </cell>
          <cell r="C98" t="str">
            <v>Bahan-bahan lainnya</v>
          </cell>
          <cell r="E98" t="str">
            <v>LS</v>
          </cell>
          <cell r="F98">
            <v>1</v>
          </cell>
        </row>
        <row r="103">
          <cell r="F103" t="str">
            <v xml:space="preserve">JUMLAH HARGA BAHAN   </v>
          </cell>
        </row>
        <row r="105">
          <cell r="A105" t="str">
            <v>C.</v>
          </cell>
          <cell r="C105" t="str">
            <v>PERALATAN</v>
          </cell>
        </row>
        <row r="107">
          <cell r="A107" t="str">
            <v>1.</v>
          </cell>
          <cell r="C107" t="str">
            <v>Motor Grader</v>
          </cell>
          <cell r="D107" t="str">
            <v>(E13)</v>
          </cell>
          <cell r="E107" t="str">
            <v>Jam</v>
          </cell>
        </row>
        <row r="108">
          <cell r="A108" t="str">
            <v>2.</v>
          </cell>
          <cell r="C108" t="str">
            <v>Flat Bed Truck    (E11)</v>
          </cell>
          <cell r="E108" t="str">
            <v>Jam</v>
          </cell>
        </row>
        <row r="109">
          <cell r="A109" t="str">
            <v>3.</v>
          </cell>
          <cell r="C109" t="str">
            <v>Roller                 (E16)</v>
          </cell>
          <cell r="E109" t="str">
            <v>Jam</v>
          </cell>
        </row>
        <row r="115">
          <cell r="F115" t="str">
            <v xml:space="preserve">JUMLAH HARGA PERALATAN </v>
          </cell>
        </row>
        <row r="117">
          <cell r="A117" t="str">
            <v>D.</v>
          </cell>
          <cell r="C117" t="str">
            <v>Jumlah harga Tenaga, Bahan dan Peralatan  :  ( A + B + C )</v>
          </cell>
        </row>
        <row r="118">
          <cell r="A118" t="str">
            <v>E.</v>
          </cell>
          <cell r="C118" t="str">
            <v>Over Head and Profit  :</v>
          </cell>
          <cell r="E118">
            <v>10</v>
          </cell>
          <cell r="F118" t="str">
            <v>%  x  D</v>
          </cell>
        </row>
        <row r="119">
          <cell r="A119" t="str">
            <v>F.</v>
          </cell>
          <cell r="C119" t="str">
            <v>Harga Lump Sum  :  ( D + E ) Dibulatkan</v>
          </cell>
        </row>
        <row r="120">
          <cell r="A120" t="str">
            <v>G.</v>
          </cell>
          <cell r="C120" t="str">
            <v>Harga Lump Sum / bulan untuk 3 bulan pertama  :  F / 8</v>
          </cell>
        </row>
        <row r="121">
          <cell r="A121" t="str">
            <v>H.</v>
          </cell>
          <cell r="C121" t="str">
            <v>Harga Lump Sum / bulan untuk sisanya selama Periode Pelaksanaan</v>
          </cell>
        </row>
        <row r="122">
          <cell r="C122" t="str">
            <v>=  5/8 x { F / (Periode Pelaksanaan - 3) }</v>
          </cell>
        </row>
        <row r="123">
          <cell r="A123" t="str">
            <v>Note: 1</v>
          </cell>
          <cell r="C123" t="str">
            <v>Perkiraan kuantitas yang dicantumkan harus diperkirakan mendekati kondisi sebenarnya.</v>
          </cell>
        </row>
        <row r="124">
          <cell r="A124">
            <v>2</v>
          </cell>
          <cell r="C124" t="str">
            <v>Harga Lump Sum harus mencakup seluruh pajak yang berkaitan (tapi tidak termasuk PPN yang dibayarkan</v>
          </cell>
        </row>
        <row r="125">
          <cell r="C125" t="str">
            <v>dari Kontrak), bahan-bahan tambahan, tenaga kerja atau peralatan yang mungkin diperlukan.</v>
          </cell>
        </row>
        <row r="126">
          <cell r="A126">
            <v>3</v>
          </cell>
          <cell r="C126" t="str">
            <v>Pekerjaan dan kuantitas yang ditunjukkan di atas adalah perkiraan semata yang menjadi dasar penetapan Mata</v>
          </cell>
        </row>
        <row r="127">
          <cell r="C127" t="str">
            <v>Pembayaran Pekerjaan Pemeliharaan Rutin ini. Pelaksanaan pemeliharaan kondisi jalan dilakukan sesuai</v>
          </cell>
        </row>
        <row r="128">
          <cell r="C128" t="str">
            <v>ketentuan dalam Spesifikasi yang tidak perlu dikaitkan dengan kuantitas yang ditunjukkan dalam Analisa ini.</v>
          </cell>
        </row>
        <row r="131">
          <cell r="I131" t="str">
            <v>Analisa EI-1013</v>
          </cell>
        </row>
        <row r="133">
          <cell r="A133" t="str">
            <v>FORMULIR STANDAR UNTUK</v>
          </cell>
        </row>
        <row r="134">
          <cell r="A134" t="str">
            <v>PEREKAMAN ANALISA MASING-MASING HARGA SATUAN</v>
          </cell>
        </row>
        <row r="135">
          <cell r="A135">
            <v>0</v>
          </cell>
        </row>
        <row r="137">
          <cell r="A137" t="str">
            <v>Kegiatan</v>
          </cell>
          <cell r="D137" t="str">
            <v>: Pembangunan Jalan Dinas Bina Marga dan Cipta Karya Prov. NAD</v>
          </cell>
        </row>
        <row r="138">
          <cell r="A138" t="str">
            <v>Nama Paket</v>
          </cell>
          <cell r="D138" t="str">
            <v>: …………………………………………..</v>
          </cell>
        </row>
        <row r="139">
          <cell r="A139" t="str">
            <v>Nomor Paket</v>
          </cell>
          <cell r="D139" t="str">
            <v>: ……………………………………………</v>
          </cell>
        </row>
        <row r="140">
          <cell r="A140" t="str">
            <v>Tahun Anggaran</v>
          </cell>
          <cell r="D140" t="str">
            <v>: 2009</v>
          </cell>
        </row>
        <row r="141">
          <cell r="A141" t="str">
            <v>Prop / Kab / Kodya</v>
          </cell>
          <cell r="D141" t="str">
            <v>: .......................................................</v>
          </cell>
        </row>
        <row r="142">
          <cell r="A142" t="str">
            <v>ITEM PEMBAYARAN NO.</v>
          </cell>
          <cell r="D142" t="str">
            <v>: 10.1 (3)</v>
          </cell>
        </row>
        <row r="143">
          <cell r="A143" t="str">
            <v>JENIS PEKERJAAN</v>
          </cell>
          <cell r="D143" t="str">
            <v>: Pemeliharaan Rutin Selokan, Saluran Air, Galian &amp; Timbunan</v>
          </cell>
        </row>
        <row r="144">
          <cell r="A144" t="str">
            <v>SATUAN PEMBAYARAN</v>
          </cell>
          <cell r="D144" t="str">
            <v>: Lump Sum / Bulan</v>
          </cell>
          <cell r="G144" t="str">
            <v>% THD. BIAYA PROYEK</v>
          </cell>
          <cell r="I144" t="str">
            <v>:</v>
          </cell>
        </row>
        <row r="147">
          <cell r="F147" t="str">
            <v>PERKIRAAN</v>
          </cell>
          <cell r="G147" t="str">
            <v>HARGA</v>
          </cell>
          <cell r="H147" t="str">
            <v>JUMLAH</v>
          </cell>
        </row>
        <row r="148">
          <cell r="A148" t="str">
            <v>NO.</v>
          </cell>
          <cell r="C148" t="str">
            <v>KOMPONEN</v>
          </cell>
          <cell r="E148" t="str">
            <v>SATUAN</v>
          </cell>
          <cell r="F148" t="str">
            <v>KUANTITAS</v>
          </cell>
          <cell r="G148" t="str">
            <v>SATUAN</v>
          </cell>
          <cell r="H148" t="str">
            <v>HARGA</v>
          </cell>
        </row>
        <row r="149">
          <cell r="G149" t="str">
            <v>(Rp.)</v>
          </cell>
          <cell r="H149" t="str">
            <v>(Rp.)</v>
          </cell>
        </row>
        <row r="152">
          <cell r="A152" t="str">
            <v>A.</v>
          </cell>
          <cell r="C152" t="str">
            <v>TENAGA</v>
          </cell>
        </row>
        <row r="154">
          <cell r="A154" t="str">
            <v>1.</v>
          </cell>
          <cell r="C154" t="str">
            <v>Pekerja</v>
          </cell>
          <cell r="D154" t="str">
            <v>(L01)</v>
          </cell>
          <cell r="E154" t="str">
            <v>Jam</v>
          </cell>
        </row>
        <row r="155">
          <cell r="A155" t="str">
            <v>2.</v>
          </cell>
          <cell r="C155" t="str">
            <v>Mandor</v>
          </cell>
          <cell r="D155" t="str">
            <v>(L03)</v>
          </cell>
          <cell r="E155" t="str">
            <v>Jam</v>
          </cell>
        </row>
        <row r="158">
          <cell r="F158" t="str">
            <v xml:space="preserve">JUMLAH HARGA TENAGA   </v>
          </cell>
        </row>
        <row r="160">
          <cell r="A160" t="str">
            <v>B.</v>
          </cell>
          <cell r="C160" t="str">
            <v>BAHAN</v>
          </cell>
        </row>
        <row r="162">
          <cell r="A162" t="str">
            <v>1.</v>
          </cell>
          <cell r="C162" t="str">
            <v>Umum</v>
          </cell>
          <cell r="E162" t="str">
            <v>LS</v>
          </cell>
          <cell r="F162">
            <v>1</v>
          </cell>
        </row>
        <row r="168">
          <cell r="F168" t="str">
            <v xml:space="preserve">JUMLAH HARGA BAHAN   </v>
          </cell>
        </row>
        <row r="170">
          <cell r="A170" t="str">
            <v>C.</v>
          </cell>
          <cell r="C170" t="str">
            <v>PERALATAN</v>
          </cell>
        </row>
        <row r="172">
          <cell r="A172" t="str">
            <v>1.</v>
          </cell>
          <cell r="C172" t="str">
            <v>Motor Grader</v>
          </cell>
          <cell r="D172" t="str">
            <v>(E13)</v>
          </cell>
          <cell r="E172" t="str">
            <v>Jam</v>
          </cell>
        </row>
        <row r="173">
          <cell r="A173" t="str">
            <v>2.</v>
          </cell>
          <cell r="C173" t="str">
            <v>Dump Truck</v>
          </cell>
          <cell r="D173" t="str">
            <v>(E08)</v>
          </cell>
          <cell r="E173" t="str">
            <v>Jam</v>
          </cell>
        </row>
        <row r="180">
          <cell r="F180" t="str">
            <v xml:space="preserve">JUMLAH HARGA PERALATAN </v>
          </cell>
        </row>
        <row r="182">
          <cell r="A182" t="str">
            <v>D.</v>
          </cell>
          <cell r="C182" t="str">
            <v>Jumlah harga Tenaga, Bahan dan Peralatan  :  ( A + B + C )</v>
          </cell>
        </row>
        <row r="183">
          <cell r="A183" t="str">
            <v>E.</v>
          </cell>
          <cell r="C183" t="str">
            <v>Over Head and Profit  :</v>
          </cell>
          <cell r="E183">
            <v>10</v>
          </cell>
          <cell r="F183" t="str">
            <v>%  x  D</v>
          </cell>
        </row>
        <row r="184">
          <cell r="A184" t="str">
            <v>F.</v>
          </cell>
          <cell r="C184" t="str">
            <v>Harga Lump Sum  :  ( D + E ) Dibulatkan</v>
          </cell>
        </row>
        <row r="185">
          <cell r="A185" t="str">
            <v>G.</v>
          </cell>
          <cell r="C185" t="str">
            <v>Harga Lump Sum / bulan untuk 3 bulan pertama  :  F / 8</v>
          </cell>
        </row>
        <row r="186">
          <cell r="A186" t="str">
            <v>H.</v>
          </cell>
          <cell r="C186" t="str">
            <v>Harga Lump Sum / bulan untuk sisanya selama Periode Pelaksanaan</v>
          </cell>
        </row>
        <row r="187">
          <cell r="C187" t="str">
            <v>=  5/8 x { F / (Periode Pelaksanaan - 3) }</v>
          </cell>
        </row>
        <row r="188">
          <cell r="A188" t="str">
            <v>Note: 1</v>
          </cell>
          <cell r="C188" t="str">
            <v>Perkiraan kuantitas yang dicantumkan harus diperkirakan mendekati kondisi sebenarnya.</v>
          </cell>
        </row>
        <row r="189">
          <cell r="A189">
            <v>2</v>
          </cell>
          <cell r="C189" t="str">
            <v>Harga Lump Sum harus mencakup seluruh pajak yang berkaitan (tapi tidak termasuk PPN yang dibayarkan</v>
          </cell>
        </row>
        <row r="190">
          <cell r="C190" t="str">
            <v>dari Kontrak), bahan-bahan tambahan, tenaga kerja atau peralatan yang mungkin diperlukan.</v>
          </cell>
        </row>
        <row r="191">
          <cell r="A191">
            <v>3</v>
          </cell>
          <cell r="C191" t="str">
            <v>Pekerjaan dan kuantitas yang ditunjukkan di atas adalah perkiraan semata yang menjadi dasar penetapan Mata</v>
          </cell>
        </row>
        <row r="192">
          <cell r="C192" t="str">
            <v>Pembayaran Pekerjaan Pemeliharaan Rutin ini. Pelaksanaan pemeliharaan kondisi jalan dilakukan sesuai</v>
          </cell>
        </row>
        <row r="193">
          <cell r="C193" t="str">
            <v>ketentuan dalam Spesifikasi yang tidak perlu dikaitkan dengan kuantitas yang ditunjukkan dalam Analisa ini.</v>
          </cell>
        </row>
        <row r="196">
          <cell r="I196" t="str">
            <v>Analisa EI-1014</v>
          </cell>
        </row>
        <row r="198">
          <cell r="A198" t="str">
            <v>FORMULIR STANDAR UNTUK</v>
          </cell>
        </row>
        <row r="199">
          <cell r="A199" t="str">
            <v>PEREKAMAN ANALISA MASING-MASING HARGA SATUAN</v>
          </cell>
        </row>
        <row r="200">
          <cell r="A200">
            <v>0</v>
          </cell>
        </row>
        <row r="202">
          <cell r="A202" t="str">
            <v>Kegiatan</v>
          </cell>
          <cell r="D202" t="str">
            <v>: Pembangunan Jalan Dinas Bina Marga dan Cipta Karya Prov. NAD</v>
          </cell>
        </row>
        <row r="203">
          <cell r="A203" t="str">
            <v>Nama Paket</v>
          </cell>
          <cell r="D203" t="str">
            <v>: …………………………………………..</v>
          </cell>
        </row>
        <row r="204">
          <cell r="A204" t="str">
            <v>Nomor Paket</v>
          </cell>
          <cell r="D204" t="str">
            <v>: ……………………………………………</v>
          </cell>
        </row>
        <row r="205">
          <cell r="A205" t="str">
            <v>Tahun Anggaran</v>
          </cell>
          <cell r="D205" t="str">
            <v>: 2009</v>
          </cell>
        </row>
        <row r="206">
          <cell r="A206" t="str">
            <v>Prop / Kab / Kodya</v>
          </cell>
          <cell r="D206" t="str">
            <v>: .......................................................</v>
          </cell>
        </row>
        <row r="207">
          <cell r="A207" t="str">
            <v>ITEM PEMBAYARAN NO.</v>
          </cell>
          <cell r="D207" t="str">
            <v>: 10.1 (4)</v>
          </cell>
        </row>
        <row r="208">
          <cell r="A208" t="str">
            <v>JENIS PEKERJAAN</v>
          </cell>
          <cell r="D208" t="str">
            <v>: Pemeliharaan Rutin Perlengkapan Jalan</v>
          </cell>
        </row>
        <row r="209">
          <cell r="A209" t="str">
            <v>SATUAN PEMBAYARAN</v>
          </cell>
          <cell r="D209" t="str">
            <v>: Lump Sum / Bulan</v>
          </cell>
          <cell r="G209" t="str">
            <v>% THD. BIAYA PROYEK</v>
          </cell>
          <cell r="I209" t="str">
            <v>:</v>
          </cell>
        </row>
        <row r="212">
          <cell r="F212" t="str">
            <v>PERKIRAAN</v>
          </cell>
          <cell r="G212" t="str">
            <v>HARGA</v>
          </cell>
          <cell r="H212" t="str">
            <v>JUMLAH</v>
          </cell>
        </row>
        <row r="213">
          <cell r="A213" t="str">
            <v>NO.</v>
          </cell>
          <cell r="C213" t="str">
            <v>KOMPONEN</v>
          </cell>
          <cell r="E213" t="str">
            <v>SATUAN</v>
          </cell>
          <cell r="F213" t="str">
            <v>KUANTITAS</v>
          </cell>
          <cell r="G213" t="str">
            <v>SATUAN</v>
          </cell>
          <cell r="H213" t="str">
            <v>HARGA</v>
          </cell>
        </row>
        <row r="214">
          <cell r="G214" t="str">
            <v>(Rp.)</v>
          </cell>
          <cell r="H214" t="str">
            <v>(Rp.)</v>
          </cell>
        </row>
        <row r="217">
          <cell r="A217" t="str">
            <v>A.</v>
          </cell>
          <cell r="C217" t="str">
            <v>TENAGA</v>
          </cell>
        </row>
        <row r="219">
          <cell r="A219" t="str">
            <v>1.</v>
          </cell>
          <cell r="C219" t="str">
            <v>Pekerja</v>
          </cell>
          <cell r="D219" t="str">
            <v>(L01)</v>
          </cell>
          <cell r="E219" t="str">
            <v>Jam</v>
          </cell>
        </row>
        <row r="220">
          <cell r="A220" t="str">
            <v>2.</v>
          </cell>
          <cell r="C220" t="str">
            <v>Mandor</v>
          </cell>
          <cell r="D220" t="str">
            <v>(L03)</v>
          </cell>
          <cell r="E220" t="str">
            <v>Jam</v>
          </cell>
        </row>
        <row r="223">
          <cell r="F223" t="str">
            <v xml:space="preserve">JUMLAH HARGA TENAGA   </v>
          </cell>
        </row>
        <row r="225">
          <cell r="A225" t="str">
            <v>B.</v>
          </cell>
          <cell r="C225" t="str">
            <v>BAHAN</v>
          </cell>
        </row>
        <row r="227">
          <cell r="A227" t="str">
            <v>1.</v>
          </cell>
          <cell r="C227" t="str">
            <v>Umum</v>
          </cell>
          <cell r="E227" t="str">
            <v>LS</v>
          </cell>
          <cell r="F227">
            <v>1</v>
          </cell>
        </row>
        <row r="233">
          <cell r="F233" t="str">
            <v xml:space="preserve">JUMLAH HARGA BAHAN   </v>
          </cell>
        </row>
        <row r="235">
          <cell r="A235" t="str">
            <v>C.</v>
          </cell>
          <cell r="C235" t="str">
            <v>PERALATAN</v>
          </cell>
        </row>
        <row r="237">
          <cell r="A237" t="str">
            <v>1.</v>
          </cell>
          <cell r="C237" t="str">
            <v>Flat Bed Truck    (E11)</v>
          </cell>
          <cell r="E237" t="str">
            <v>Jam</v>
          </cell>
        </row>
        <row r="245">
          <cell r="F245" t="str">
            <v xml:space="preserve">JUMLAH HARGA PERALATAN </v>
          </cell>
        </row>
        <row r="247">
          <cell r="A247" t="str">
            <v>D.</v>
          </cell>
          <cell r="C247" t="str">
            <v>Jumlah harga Tenaga, Bahan dan Peralatan  :  ( A + B + C )</v>
          </cell>
        </row>
        <row r="248">
          <cell r="A248" t="str">
            <v>E.</v>
          </cell>
          <cell r="C248" t="str">
            <v>Over Head and Profit  :</v>
          </cell>
          <cell r="E248">
            <v>10</v>
          </cell>
          <cell r="F248" t="str">
            <v>%  x  D</v>
          </cell>
        </row>
        <row r="249">
          <cell r="A249" t="str">
            <v>F.</v>
          </cell>
          <cell r="C249" t="str">
            <v>Harga Lump Sum  :  ( D + E ) Dibulatkan</v>
          </cell>
        </row>
        <row r="250">
          <cell r="A250" t="str">
            <v>G.</v>
          </cell>
          <cell r="C250" t="str">
            <v>Harga Lump Sum / bulan untuk 3 bulan pertama  :  F / 8</v>
          </cell>
        </row>
        <row r="251">
          <cell r="A251" t="str">
            <v>H.</v>
          </cell>
          <cell r="C251" t="str">
            <v>Harga Lump Sum / bulan untuk sisanya selama Periode Pelaksanaan</v>
          </cell>
        </row>
        <row r="252">
          <cell r="C252" t="str">
            <v>=  5/8 x { F / (Periode Pelaksanaan - 3) }</v>
          </cell>
        </row>
        <row r="253">
          <cell r="A253" t="str">
            <v>Note: 1</v>
          </cell>
          <cell r="C253" t="str">
            <v>Perkiraan kuantitas yang dicantumkan harus diperkirakan mendekati kondisi sebenarnya.</v>
          </cell>
        </row>
        <row r="254">
          <cell r="A254">
            <v>2</v>
          </cell>
          <cell r="C254" t="str">
            <v>Harga Lump Sum harus mencakup seluruh pajak yang berkaitan (tapi tidak termasuk PPN yang dibayarkan</v>
          </cell>
        </row>
        <row r="255">
          <cell r="C255" t="str">
            <v>dari Kontrak), bahan-bahan tambahan, tenaga kerja atau peralatan yang mungkin diperlukan.</v>
          </cell>
        </row>
        <row r="256">
          <cell r="A256">
            <v>3</v>
          </cell>
          <cell r="C256" t="str">
            <v>Pekerjaan dan kuantitas yang ditunjukkan di atas adalah perkiraan semata yang menjadi dasar penetapan Mata</v>
          </cell>
        </row>
        <row r="257">
          <cell r="C257" t="str">
            <v>Pembayaran Pekerjaan Pemeliharaan Rutin ini. Pelaksanaan pemeliharaan kondisi jalan dilakukan sesuai</v>
          </cell>
        </row>
        <row r="258">
          <cell r="C258" t="str">
            <v>ketentuan dalam Spesifikasi yang tidak perlu dikaitkan dengan kuantitas yang ditunjukkan dalam Analisa ini.</v>
          </cell>
        </row>
        <row r="261">
          <cell r="I261" t="str">
            <v>Analisa EI-1015</v>
          </cell>
        </row>
        <row r="263">
          <cell r="A263" t="str">
            <v>FORMULIR STANDAR UNTUK</v>
          </cell>
        </row>
        <row r="264">
          <cell r="A264" t="str">
            <v>PEREKAMAN ANALISA MASING-MASING HARGA SATUAN</v>
          </cell>
        </row>
        <row r="265">
          <cell r="A265">
            <v>0</v>
          </cell>
        </row>
        <row r="267">
          <cell r="A267" t="str">
            <v>Kegiatan</v>
          </cell>
          <cell r="D267" t="str">
            <v>: Pembangunan Jalan Dinas Bina Marga dan Cipta Karya Prov. NAD</v>
          </cell>
        </row>
        <row r="268">
          <cell r="A268" t="str">
            <v>Nama Paket</v>
          </cell>
          <cell r="D268" t="str">
            <v>: …………………………………………..</v>
          </cell>
        </row>
        <row r="269">
          <cell r="A269" t="str">
            <v>Nomor Paket</v>
          </cell>
          <cell r="D269" t="str">
            <v>: ……………………………………………</v>
          </cell>
        </row>
        <row r="270">
          <cell r="A270" t="str">
            <v>Tahun Anggaran</v>
          </cell>
          <cell r="D270" t="str">
            <v>: 2009</v>
          </cell>
        </row>
        <row r="271">
          <cell r="A271" t="str">
            <v>Prop / Kab / Kodya</v>
          </cell>
          <cell r="D271" t="str">
            <v>: .......................................................</v>
          </cell>
        </row>
        <row r="272">
          <cell r="A272" t="str">
            <v>ITEM PEMBAYARAN NO.</v>
          </cell>
          <cell r="D272" t="str">
            <v>: 10.1 (5)</v>
          </cell>
        </row>
        <row r="273">
          <cell r="A273" t="str">
            <v>JENIS PEKERJAAN</v>
          </cell>
          <cell r="D273" t="str">
            <v>: Pemeliharaan Rutin Jembatan</v>
          </cell>
        </row>
        <row r="274">
          <cell r="A274" t="str">
            <v>SATUAN PEMBAYARAN</v>
          </cell>
          <cell r="D274" t="str">
            <v>: Lump Sum / Bulan</v>
          </cell>
          <cell r="G274" t="str">
            <v>% THD. BIAYA PROYEK</v>
          </cell>
          <cell r="I274" t="str">
            <v>:</v>
          </cell>
        </row>
        <row r="277">
          <cell r="F277" t="str">
            <v>PERKIRAAN</v>
          </cell>
          <cell r="G277" t="str">
            <v>HARGA</v>
          </cell>
          <cell r="H277" t="str">
            <v>JUMLAH</v>
          </cell>
        </row>
        <row r="278">
          <cell r="A278" t="str">
            <v>NO.</v>
          </cell>
          <cell r="C278" t="str">
            <v>KOMPONEN</v>
          </cell>
          <cell r="E278" t="str">
            <v>SATUAN</v>
          </cell>
          <cell r="F278" t="str">
            <v>KUANTITAS</v>
          </cell>
          <cell r="G278" t="str">
            <v>SATUAN</v>
          </cell>
          <cell r="H278" t="str">
            <v>HARGA</v>
          </cell>
        </row>
        <row r="279">
          <cell r="G279" t="str">
            <v>(Rp.)</v>
          </cell>
          <cell r="H279" t="str">
            <v>(Rp.)</v>
          </cell>
        </row>
        <row r="282">
          <cell r="A282" t="str">
            <v>A.</v>
          </cell>
          <cell r="C282" t="str">
            <v>TENAGA</v>
          </cell>
        </row>
        <row r="284">
          <cell r="A284" t="str">
            <v>1.</v>
          </cell>
          <cell r="C284" t="str">
            <v>Pekerja</v>
          </cell>
          <cell r="D284" t="str">
            <v>(L01)</v>
          </cell>
          <cell r="E284" t="str">
            <v>Jam</v>
          </cell>
        </row>
        <row r="285">
          <cell r="A285" t="str">
            <v>2.</v>
          </cell>
          <cell r="C285" t="str">
            <v>Mandor</v>
          </cell>
          <cell r="D285" t="str">
            <v>(L03)</v>
          </cell>
          <cell r="E285" t="str">
            <v>Jam</v>
          </cell>
        </row>
        <row r="288">
          <cell r="F288" t="str">
            <v xml:space="preserve">JUMLAH HARGA TENAGA   </v>
          </cell>
        </row>
        <row r="290">
          <cell r="A290" t="str">
            <v>B.</v>
          </cell>
          <cell r="C290" t="str">
            <v>BAHAN</v>
          </cell>
        </row>
        <row r="292">
          <cell r="A292" t="str">
            <v>1.</v>
          </cell>
          <cell r="C292" t="str">
            <v>Umum</v>
          </cell>
          <cell r="E292" t="str">
            <v>LS</v>
          </cell>
          <cell r="F292">
            <v>1</v>
          </cell>
        </row>
        <row r="298">
          <cell r="F298" t="str">
            <v xml:space="preserve">JUMLAH HARGA BAHAN   </v>
          </cell>
        </row>
        <row r="300">
          <cell r="A300" t="str">
            <v>C.</v>
          </cell>
          <cell r="C300" t="str">
            <v>PERALATAN</v>
          </cell>
        </row>
        <row r="302">
          <cell r="A302" t="str">
            <v>1.</v>
          </cell>
          <cell r="C302" t="str">
            <v>Flat Bed Truck    (E11)</v>
          </cell>
          <cell r="E302" t="str">
            <v>Jam</v>
          </cell>
        </row>
        <row r="310">
          <cell r="F310" t="str">
            <v xml:space="preserve">JUMLAH HARGA PERALATAN </v>
          </cell>
        </row>
        <row r="312">
          <cell r="A312" t="str">
            <v>D.</v>
          </cell>
          <cell r="C312" t="str">
            <v>Jumlah harga Tenaga, Bahan dan Peralatan  :  ( A + B + C )</v>
          </cell>
        </row>
        <row r="313">
          <cell r="A313" t="str">
            <v>E.</v>
          </cell>
          <cell r="C313" t="str">
            <v>Over Head and Profit  :</v>
          </cell>
          <cell r="E313">
            <v>10</v>
          </cell>
          <cell r="F313" t="str">
            <v>%  x  D</v>
          </cell>
        </row>
        <row r="314">
          <cell r="A314" t="str">
            <v>F.</v>
          </cell>
          <cell r="C314" t="str">
            <v>Harga Lump Sum  :  ( D + E ) Dibulatkan</v>
          </cell>
        </row>
        <row r="315">
          <cell r="A315" t="str">
            <v>G.</v>
          </cell>
          <cell r="C315" t="str">
            <v>Harga Lump Sum / bulan untuk 3 bulan pertama  :  F / 8</v>
          </cell>
        </row>
        <row r="316">
          <cell r="A316" t="str">
            <v>H.</v>
          </cell>
          <cell r="C316" t="str">
            <v>Harga Lump Sum / bulan untuk sisanya selama Periode Pelaksanaan</v>
          </cell>
        </row>
        <row r="317">
          <cell r="C317" t="str">
            <v>=  5/8 x { F / (Periode Pelaksanaan - 3) }</v>
          </cell>
        </row>
        <row r="318">
          <cell r="A318" t="str">
            <v>Note: 1</v>
          </cell>
          <cell r="C318" t="str">
            <v>Perkiraan kuantitas yang dicantumkan harus diperkirakan mendekati kondisi sebenarnya.</v>
          </cell>
        </row>
        <row r="319">
          <cell r="A319">
            <v>2</v>
          </cell>
          <cell r="C319" t="str">
            <v>Harga Lump Sum harus mencakup seluruh pajak yang berkaitan (tapi tidak termasuk PPN yang dibayarkan</v>
          </cell>
        </row>
        <row r="320">
          <cell r="C320" t="str">
            <v>dari Kontrak), bahan-bahan tambahan, tenaga kerja atau peralatan yang mungkin diperlukan.</v>
          </cell>
        </row>
        <row r="321">
          <cell r="A321">
            <v>3</v>
          </cell>
          <cell r="C321" t="str">
            <v>Pekerjaan dan kuantitas yang ditunjukkan di atas adalah perkiraan semata yang menjadi dasar penetapan Mata</v>
          </cell>
        </row>
        <row r="322">
          <cell r="C322" t="str">
            <v>Pembayaran Pekerjaan Pemeliharaan Rutin ini. Pelaksanaan pemeliharaan kondisi jalan dilakukan sesuai</v>
          </cell>
        </row>
        <row r="323">
          <cell r="C323" t="str">
            <v>ketentuan dalam Spesifikasi yang tidak perlu dikaitkan dengan kuantitas yang ditunjukkan dalam Analisa ini.</v>
          </cell>
        </row>
      </sheetData>
      <sheetData sheetId="24" refreshError="1"/>
      <sheetData sheetId="25"/>
      <sheetData sheetId="26" refreshError="1"/>
      <sheetData sheetId="27">
        <row r="1">
          <cell r="A1" t="str">
            <v>DAFTAR HARGA DASAR SATUAN</v>
          </cell>
        </row>
        <row r="2">
          <cell r="A2" t="str">
            <v>UPAH, BAHAN DAN SEWA ALAT</v>
          </cell>
        </row>
        <row r="4">
          <cell r="F4" t="str">
            <v>HARGA</v>
          </cell>
        </row>
        <row r="5">
          <cell r="A5" t="str">
            <v>No.</v>
          </cell>
          <cell r="B5" t="str">
            <v>U R A I A N</v>
          </cell>
          <cell r="D5" t="str">
            <v>KODE</v>
          </cell>
          <cell r="E5" t="str">
            <v>SATUAN</v>
          </cell>
          <cell r="F5" t="str">
            <v>SATUAN</v>
          </cell>
          <cell r="G5" t="str">
            <v>KETERANGAN</v>
          </cell>
        </row>
        <row r="6">
          <cell r="F6" t="str">
            <v>( Rp.)</v>
          </cell>
        </row>
        <row r="8">
          <cell r="A8" t="str">
            <v>A.</v>
          </cell>
          <cell r="C8" t="str">
            <v>UPAH</v>
          </cell>
        </row>
        <row r="10">
          <cell r="A10">
            <v>1</v>
          </cell>
          <cell r="C10" t="str">
            <v>Pekerja</v>
          </cell>
          <cell r="D10" t="str">
            <v>L01</v>
          </cell>
          <cell r="E10" t="str">
            <v>Jam</v>
          </cell>
          <cell r="F10">
            <v>7142.8571428571431</v>
          </cell>
        </row>
        <row r="12">
          <cell r="A12">
            <v>2</v>
          </cell>
          <cell r="C12" t="str">
            <v>M a n d o r</v>
          </cell>
          <cell r="D12" t="str">
            <v>L03</v>
          </cell>
          <cell r="E12" t="str">
            <v>Jam</v>
          </cell>
          <cell r="F12">
            <v>8571.4285714285706</v>
          </cell>
        </row>
        <row r="14">
          <cell r="A14">
            <v>3</v>
          </cell>
          <cell r="C14" t="str">
            <v>Operator</v>
          </cell>
          <cell r="D14" t="str">
            <v>L05</v>
          </cell>
          <cell r="E14" t="str">
            <v>Jam</v>
          </cell>
          <cell r="F14">
            <v>14285.714285714286</v>
          </cell>
        </row>
        <row r="16">
          <cell r="A16">
            <v>4</v>
          </cell>
          <cell r="C16" t="str">
            <v>Pembantu Operator</v>
          </cell>
          <cell r="D16" t="str">
            <v>L07</v>
          </cell>
          <cell r="E16" t="str">
            <v>Jam</v>
          </cell>
          <cell r="F16">
            <v>6428.5714285714284</v>
          </cell>
        </row>
        <row r="18">
          <cell r="A18" t="str">
            <v>B.</v>
          </cell>
          <cell r="C18" t="str">
            <v>BAHAN / MATERIAL</v>
          </cell>
        </row>
        <row r="20">
          <cell r="A20">
            <v>1</v>
          </cell>
          <cell r="C20" t="str">
            <v>Agregat Kasar</v>
          </cell>
          <cell r="D20" t="str">
            <v>M03</v>
          </cell>
          <cell r="E20" t="str">
            <v>M3</v>
          </cell>
          <cell r="F20">
            <v>115000</v>
          </cell>
          <cell r="G20" t="str">
            <v>Base Camp</v>
          </cell>
        </row>
        <row r="22">
          <cell r="A22">
            <v>2</v>
          </cell>
          <cell r="C22" t="str">
            <v>Agregat Halus</v>
          </cell>
          <cell r="D22" t="str">
            <v>M04</v>
          </cell>
          <cell r="E22" t="str">
            <v>M3</v>
          </cell>
          <cell r="F22">
            <v>270000</v>
          </cell>
          <cell r="G22" t="str">
            <v>Base Camp</v>
          </cell>
        </row>
        <row r="24">
          <cell r="A24">
            <v>3</v>
          </cell>
          <cell r="C24" t="str">
            <v>F i l l e r</v>
          </cell>
          <cell r="D24" t="str">
            <v>M05</v>
          </cell>
          <cell r="E24" t="str">
            <v>Kg</v>
          </cell>
          <cell r="F24">
            <v>1100</v>
          </cell>
          <cell r="G24" t="str">
            <v>Base Camp</v>
          </cell>
        </row>
        <row r="26">
          <cell r="A26">
            <v>4</v>
          </cell>
          <cell r="C26" t="str">
            <v>Aspal Cement</v>
          </cell>
          <cell r="D26" t="str">
            <v>M10</v>
          </cell>
          <cell r="E26" t="str">
            <v>Kg</v>
          </cell>
          <cell r="F26">
            <v>6000</v>
          </cell>
          <cell r="G26" t="str">
            <v>Base Camp</v>
          </cell>
        </row>
        <row r="28">
          <cell r="A28">
            <v>5</v>
          </cell>
          <cell r="C28" t="str">
            <v>Kerosen / Minyak Tanah</v>
          </cell>
          <cell r="D28" t="str">
            <v>M11</v>
          </cell>
          <cell r="E28" t="str">
            <v>LITER</v>
          </cell>
          <cell r="F28">
            <v>6900</v>
          </cell>
          <cell r="G28" t="str">
            <v>Base Camp</v>
          </cell>
        </row>
        <row r="30">
          <cell r="A30">
            <v>6</v>
          </cell>
          <cell r="C30" t="str">
            <v>S i r t u</v>
          </cell>
          <cell r="D30" t="str">
            <v>M16</v>
          </cell>
          <cell r="E30" t="str">
            <v>M3</v>
          </cell>
          <cell r="F30">
            <v>83000</v>
          </cell>
          <cell r="G30" t="str">
            <v>Lokasi Pekerjaan</v>
          </cell>
        </row>
      </sheetData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7">
          <cell r="D7">
            <v>55000</v>
          </cell>
        </row>
        <row r="8">
          <cell r="D8">
            <v>32000</v>
          </cell>
        </row>
        <row r="9">
          <cell r="D9">
            <v>50000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7">
          <cell r="D7">
            <v>55000</v>
          </cell>
        </row>
        <row r="8">
          <cell r="D8">
            <v>32000</v>
          </cell>
        </row>
        <row r="9">
          <cell r="D9">
            <v>50000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"/>
      <sheetName val="REKAP"/>
      <sheetName val="RAB"/>
      <sheetName val="PAVING DRAINASE"/>
      <sheetName val="BV-2"/>
      <sheetName val="BV-3"/>
      <sheetName val="REKAP ANL"/>
      <sheetName val="ANALISA"/>
      <sheetName val="UPAH-BAHAN"/>
    </sheetNames>
    <sheetDataSet>
      <sheetData sheetId="0"/>
      <sheetData sheetId="1"/>
      <sheetData sheetId="2">
        <row r="14">
          <cell r="B14" t="str">
            <v>A</v>
          </cell>
          <cell r="C14" t="str">
            <v>PEKERJAAN PENDAHULUAN</v>
          </cell>
        </row>
        <row r="15">
          <cell r="D15">
            <v>1</v>
          </cell>
          <cell r="E15" t="str">
            <v>Pekerjaan Pengukuran dan Pas. Bowplank</v>
          </cell>
        </row>
        <row r="16">
          <cell r="D16">
            <v>2</v>
          </cell>
          <cell r="E16" t="str">
            <v>Biaya SMK3</v>
          </cell>
        </row>
        <row r="17">
          <cell r="D17">
            <v>0</v>
          </cell>
          <cell r="E17" t="str">
            <v>Helm Safety</v>
          </cell>
        </row>
        <row r="18">
          <cell r="D18">
            <v>0</v>
          </cell>
          <cell r="E18" t="str">
            <v>Rompi Safety</v>
          </cell>
        </row>
        <row r="19">
          <cell r="D19">
            <v>0</v>
          </cell>
          <cell r="E19" t="str">
            <v>Sepatu AP Boots</v>
          </cell>
        </row>
        <row r="20">
          <cell r="D20">
            <v>0</v>
          </cell>
          <cell r="E20" t="str">
            <v>Sarung Tangan</v>
          </cell>
        </row>
        <row r="21">
          <cell r="D21">
            <v>3</v>
          </cell>
          <cell r="E21" t="str">
            <v>Sewa Gudang dan Barak Kerja</v>
          </cell>
        </row>
        <row r="22">
          <cell r="D22">
            <v>4</v>
          </cell>
          <cell r="E22" t="str">
            <v>Pembersihan Akhir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KAP RAB"/>
      <sheetName val="RAB"/>
      <sheetName val="BV-A"/>
      <sheetName val="LANTAI 2"/>
      <sheetName val="LANTAI 3"/>
      <sheetName val="BV-B"/>
      <sheetName val="BV-C"/>
      <sheetName val="BV-D"/>
      <sheetName val="BV-E"/>
      <sheetName val="BV-F"/>
      <sheetName val="BV-G"/>
      <sheetName val="BV-H"/>
      <sheetName val="BV-I"/>
      <sheetName val="ANL KOSEN"/>
      <sheetName val="K3"/>
      <sheetName val="BV-KOSEN"/>
      <sheetName val="UPAH &amp; BAHAN"/>
      <sheetName val="REKAP ANL"/>
      <sheetName val="ANALISA"/>
      <sheetName val="ANL. Partisi"/>
      <sheetName val="SPRINKLER SYSTEM"/>
      <sheetName val="FIRE ALARM"/>
      <sheetName val="HYDRANT SYSTEM"/>
      <sheetName val="PUMPR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REKAP ANALISA HARGA SATUAN PEKERJAN</v>
          </cell>
          <cell r="C1">
            <v>0</v>
          </cell>
          <cell r="D1">
            <v>0</v>
          </cell>
        </row>
        <row r="2">
          <cell r="B2">
            <v>0</v>
          </cell>
          <cell r="C2">
            <v>0</v>
          </cell>
          <cell r="D2">
            <v>0</v>
          </cell>
        </row>
        <row r="3">
          <cell r="B3" t="str">
            <v>ANALISA</v>
          </cell>
          <cell r="C3" t="str">
            <v>PEKERJAAN</v>
          </cell>
          <cell r="D3" t="str">
            <v>HARGA SATUAN</v>
          </cell>
        </row>
        <row r="4">
          <cell r="B4">
            <v>0</v>
          </cell>
          <cell r="C4">
            <v>0</v>
          </cell>
          <cell r="D4">
            <v>0</v>
          </cell>
        </row>
        <row r="5">
          <cell r="B5" t="str">
            <v>A. 2.3.1.1. A</v>
          </cell>
          <cell r="C5" t="str">
            <v>1M' Pengukuran dan Pemasangan Bowplank</v>
          </cell>
          <cell r="D5">
            <v>83872.375</v>
          </cell>
        </row>
        <row r="6">
          <cell r="B6" t="str">
            <v xml:space="preserve"> A.2.2.1.2</v>
          </cell>
          <cell r="C6" t="str">
            <v>Pembuatan 1m2 pagar sementara dari seng gelombang tinggi 2 meter</v>
          </cell>
          <cell r="D6">
            <v>324943.29849999992</v>
          </cell>
        </row>
        <row r="7">
          <cell r="B7" t="str">
            <v>A.2.3.1.1.</v>
          </cell>
          <cell r="C7" t="str">
            <v>Penggalian 1 m3  tanah biasa sedalam 1 m</v>
          </cell>
          <cell r="D7">
            <v>70725</v>
          </cell>
        </row>
        <row r="8">
          <cell r="B8" t="str">
            <v>A.2.3.1.10.</v>
          </cell>
          <cell r="C8" t="str">
            <v>(K3) Pemadatan tanah 1 m3
tanah ( per 20 cm)</v>
          </cell>
          <cell r="D8">
            <v>70725</v>
          </cell>
        </row>
        <row r="9">
          <cell r="B9" t="str">
            <v>A.2.3.1.10.A</v>
          </cell>
          <cell r="C9" t="str">
            <v>Pengurugan 1 m3 dengan Tanah urug</v>
          </cell>
          <cell r="D9">
            <v>126845</v>
          </cell>
        </row>
        <row r="10">
          <cell r="B10" t="str">
            <v xml:space="preserve">Anl. PDA </v>
          </cell>
          <cell r="C10" t="str">
            <v>Analisa PDA test Per titik</v>
          </cell>
          <cell r="D10">
            <v>11613562.5</v>
          </cell>
        </row>
        <row r="11">
          <cell r="B11" t="str">
            <v>A.2.3.1.11.</v>
          </cell>
          <cell r="C11" t="str">
            <v>Pengurugan 1 m3 dengan pasir urug</v>
          </cell>
          <cell r="D11">
            <v>202745</v>
          </cell>
        </row>
        <row r="12">
          <cell r="B12" t="str">
            <v>A.2.3.1.9.</v>
          </cell>
          <cell r="C12" t="str">
            <v>Pengurugan kembali 1 m3 galian tanah</v>
          </cell>
          <cell r="D12">
            <v>70725</v>
          </cell>
        </row>
        <row r="13">
          <cell r="B13">
            <v>0</v>
          </cell>
          <cell r="C13">
            <v>0</v>
          </cell>
          <cell r="D13">
            <v>0</v>
          </cell>
        </row>
        <row r="14">
          <cell r="B14" t="str">
            <v>A.4.1.1.17.</v>
          </cell>
          <cell r="C14" t="str">
            <v>Pembesian 1 kg dengan besi polos Pembesian untuk 10 kg dengan besi polos/ulir</v>
          </cell>
          <cell r="D14">
            <v>26532.799999999999</v>
          </cell>
        </row>
        <row r="15">
          <cell r="B15">
            <v>0</v>
          </cell>
          <cell r="C15">
            <v>0</v>
          </cell>
          <cell r="D15">
            <v>0</v>
          </cell>
        </row>
        <row r="16">
          <cell r="B16" t="str">
            <v>A.4.1.1.21.A</v>
          </cell>
          <cell r="C16" t="str">
            <v>Pemasangan 1 m2   bekisting untuk sloof 2 x Pakai</v>
          </cell>
          <cell r="D16">
            <v>167381.0625</v>
          </cell>
        </row>
        <row r="17">
          <cell r="B17" t="str">
            <v>A.4.1.1.22.A</v>
          </cell>
          <cell r="C17" t="str">
            <v>Pemasangan 1 m2   bekisting untuk  kolom 2 X Pakai</v>
          </cell>
          <cell r="D17">
            <v>292318.5</v>
          </cell>
        </row>
        <row r="18">
          <cell r="B18" t="str">
            <v>A.4.1.1.23.A</v>
          </cell>
          <cell r="C18" t="str">
            <v>(K3) Pemasangan 1 m2 bekisting untuk balok 2 x Pakai</v>
          </cell>
          <cell r="D18">
            <v>296889.75</v>
          </cell>
        </row>
        <row r="19">
          <cell r="B19" t="str">
            <v>A.4.1.1.24.A</v>
          </cell>
          <cell r="C19" t="str">
            <v xml:space="preserve"> Pemasangan 1 m2   bekisting untuk lantai 2X PAKAI</v>
          </cell>
          <cell r="D19">
            <v>281968.5</v>
          </cell>
        </row>
        <row r="20">
          <cell r="B20" t="str">
            <v>A.4.1.1.26</v>
          </cell>
          <cell r="C20" t="str">
            <v xml:space="preserve"> Pemasangan 1 m2   bekisting untuk tangga</v>
          </cell>
          <cell r="D20">
            <v>400131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 t="str">
            <v>A.3.2.1.1.</v>
          </cell>
          <cell r="C22" t="str">
            <v>Pemasangan 1 m3 pondasi batu kali campuran 1SP : 3PP</v>
          </cell>
          <cell r="D22">
            <v>1233996</v>
          </cell>
        </row>
        <row r="23">
          <cell r="B23" t="str">
            <v>A.3.2.1.9.</v>
          </cell>
          <cell r="C23" t="str">
            <v>Pemasangan 1 m3 Batu Kosong (Aanstamping)</v>
          </cell>
          <cell r="D23">
            <v>715895.7</v>
          </cell>
        </row>
        <row r="24">
          <cell r="B24" t="str">
            <v>A.4.1.1.35.</v>
          </cell>
          <cell r="C24" t="str">
            <v>Membuat 1 m’ kolom praktis beton bertulang (11 x 11) cm</v>
          </cell>
          <cell r="D24">
            <v>129826.08749999999</v>
          </cell>
        </row>
        <row r="25">
          <cell r="B25" t="str">
            <v>A.4.1.1.36.</v>
          </cell>
          <cell r="C25" t="str">
            <v>Membuat 1 m’ ring balok beton bertulang (10 x 15) cm</v>
          </cell>
          <cell r="D25">
            <v>165101.47500000001</v>
          </cell>
        </row>
        <row r="26">
          <cell r="B26" t="str">
            <v>A.4.1.1.8.</v>
          </cell>
          <cell r="C26" t="str">
            <v>Membuat 1 m3 beton mutu f’c = 19,3 Mpa (K225)</v>
          </cell>
          <cell r="D26">
            <v>1289400.5840336133</v>
          </cell>
        </row>
        <row r="27">
          <cell r="B27" t="str">
            <v>A.4.2.1.1.</v>
          </cell>
          <cell r="C27" t="str">
            <v>Pemasangan 1 kg besi profil</v>
          </cell>
          <cell r="D27">
            <v>44022</v>
          </cell>
        </row>
        <row r="28">
          <cell r="B28" t="str">
            <v>A.4.2.1.11.A.</v>
          </cell>
          <cell r="C28" t="str">
            <v>Pemasangan 1 m kusen pintu &amp; Jendela alluminium 4"</v>
          </cell>
          <cell r="D28">
            <v>180767.35</v>
          </cell>
        </row>
        <row r="29">
          <cell r="B29" t="str">
            <v>A.4.2.1.13.</v>
          </cell>
          <cell r="C29" t="str">
            <v>Pemasangan 1 m2 Daun pintu &amp; Jendela kaca rangka alluminium</v>
          </cell>
          <cell r="D29">
            <v>603635</v>
          </cell>
        </row>
        <row r="30">
          <cell r="B30" t="str">
            <v>A.4.6.2.17.</v>
          </cell>
          <cell r="C30" t="str">
            <v>Pemasangan 1 m2 kaca tebal 5 mm</v>
          </cell>
          <cell r="D30">
            <v>210374.1</v>
          </cell>
        </row>
        <row r="31">
          <cell r="B31" t="str">
            <v>A.4.4.1.1a</v>
          </cell>
          <cell r="C31" t="str">
            <v>Pemasangan 1m2 dinding rollag bata merah (5x11x22)
campuran 1SP :2PP</v>
          </cell>
          <cell r="D31">
            <v>290110.5</v>
          </cell>
        </row>
        <row r="32">
          <cell r="B32" t="str">
            <v>A.4.4.1.2</v>
          </cell>
          <cell r="C32" t="str">
            <v>Pemasangan 1m2 dinding bata merah (5x11x22) cm tebal 1 batu 
campuran 1SP :4PP</v>
          </cell>
          <cell r="D32">
            <v>273353.84999999998</v>
          </cell>
        </row>
        <row r="33">
          <cell r="B33" t="str">
            <v>A.4.4.1.9</v>
          </cell>
          <cell r="C33" t="str">
            <v>Pemasangan 1m2 dinding bata merah (5x11x22) cm tebal ½ batu
campuran 1SP :4PP</v>
          </cell>
          <cell r="D33">
            <v>127767.3</v>
          </cell>
        </row>
        <row r="34">
          <cell r="B34" t="str">
            <v>A.4.4.2.27.</v>
          </cell>
          <cell r="C34" t="str">
            <v>Pemasangan 1 m2 acian.</v>
          </cell>
          <cell r="D34">
            <v>50801.25</v>
          </cell>
        </row>
        <row r="35">
          <cell r="B35" t="str">
            <v>A.4.4.2.4.</v>
          </cell>
          <cell r="C35" t="str">
            <v>Pemasangan 1 m2 plesteran 1SP : 4PP tebal 15 mm</v>
          </cell>
          <cell r="D35">
            <v>81702.899999999994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 t="str">
            <v>A.4.4.3.35.A</v>
          </cell>
          <cell r="C37" t="str">
            <v>Pemasangan 1m2 lantai granite ukuran 60cm x 60cm</v>
          </cell>
          <cell r="D37">
            <v>446614</v>
          </cell>
        </row>
        <row r="38">
          <cell r="B38" t="str">
            <v>A.4.4.3.36.C</v>
          </cell>
          <cell r="C38" t="str">
            <v>Pemasangan 1m2 lantai keramik ukuran 25 cm x 25 cm Anti Slip</v>
          </cell>
          <cell r="D38">
            <v>275229.5</v>
          </cell>
        </row>
        <row r="39">
          <cell r="B39" t="str">
            <v>A.4.4.3.54.C</v>
          </cell>
          <cell r="C39" t="str">
            <v>Pemasangan 1 m2 dinding keramik 25 cm x 40 cm</v>
          </cell>
          <cell r="D39">
            <v>329859.09999999998</v>
          </cell>
        </row>
        <row r="40">
          <cell r="B40" t="str">
            <v>Hit. PL. PVC</v>
          </cell>
          <cell r="C40" t="str">
            <v xml:space="preserve">  Pemasangan 1 m2 langit-langit Pvc t 8mm </v>
          </cell>
          <cell r="D40">
            <v>146879.75949999999</v>
          </cell>
        </row>
        <row r="41">
          <cell r="B41" t="str">
            <v>Hit.  Lis. PVC</v>
          </cell>
          <cell r="C41" t="str">
            <v xml:space="preserve">  Memasang 1 m' List plafond PVC </v>
          </cell>
          <cell r="D41">
            <v>49088.612500000003</v>
          </cell>
        </row>
        <row r="42">
          <cell r="B42" t="str">
            <v>A.4.5.1.7.</v>
          </cell>
          <cell r="C42" t="str">
            <v>Pemasangan 1 m2 langit-langit gypsum board ukuran (120x240x9) mm, tebal 9 mm</v>
          </cell>
          <cell r="D42">
            <v>55431.7595</v>
          </cell>
        </row>
        <row r="43">
          <cell r="B43" t="str">
            <v>A.4.2.1.18.</v>
          </cell>
          <cell r="C43" t="str">
            <v>Pemasangan 1 m’ talang datar/ jurai seng bjls 28 lebar 90 cm</v>
          </cell>
          <cell r="D43">
            <v>141335</v>
          </cell>
        </row>
        <row r="44">
          <cell r="B44" t="str">
            <v>A.4.5.2.37.</v>
          </cell>
          <cell r="C44" t="str">
            <v>Pemasangan 1 m’ nok genteng metal</v>
          </cell>
          <cell r="D44">
            <v>102959.5</v>
          </cell>
        </row>
        <row r="45">
          <cell r="B45" t="str">
            <v>A.4.5.2.40.</v>
          </cell>
          <cell r="C45" t="str">
            <v>Pemasangan 1 m2 atap Spandeck  #0,40</v>
          </cell>
          <cell r="D45">
            <v>163204.16666666669</v>
          </cell>
        </row>
        <row r="46">
          <cell r="B46" t="str">
            <v>A.4.5.2.42.</v>
          </cell>
          <cell r="C46" t="str">
            <v>Pemasangan 1 m2 Atap polycarbonate</v>
          </cell>
          <cell r="D46">
            <v>434769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 t="str">
            <v>A.4.6.2.17.</v>
          </cell>
          <cell r="C48" t="str">
            <v>Pemasangan 1 m2 kaca tebal 5 mm</v>
          </cell>
          <cell r="D48">
            <v>210374.1</v>
          </cell>
        </row>
        <row r="49">
          <cell r="B49" t="str">
            <v>A.4.7.1.10.</v>
          </cell>
          <cell r="C49" t="str">
            <v>Pengecatan Interior 1 m2 tembok baru (1 lapis plamuur, 1 lapis cat dasar, 2
lapis cat penutup)</v>
          </cell>
          <cell r="D49">
            <v>49971.709000000003</v>
          </cell>
        </row>
        <row r="50">
          <cell r="B50" t="str">
            <v>A.4.7.1.11.</v>
          </cell>
          <cell r="C50" t="str">
            <v>Pengecatan Exterior 1 m2 tembok baru (1 lapis plamuur, 1 lapis cat dasar, 2
lapis cat penutup)</v>
          </cell>
          <cell r="D50">
            <v>61369.957000000002</v>
          </cell>
        </row>
        <row r="51">
          <cell r="B51" t="str">
            <v>A.4.7.1.10.A</v>
          </cell>
          <cell r="C51" t="str">
            <v>Pengecatan 1 m2 Plafond (1 Lapis Cat Dasar, 1 lapis cat penutup)</v>
          </cell>
          <cell r="D51">
            <v>46115</v>
          </cell>
        </row>
        <row r="52">
          <cell r="B52" t="str">
            <v>A.4.7.1.16.</v>
          </cell>
          <cell r="C52" t="str">
            <v>Pengecatan 1 m2 permukaan baja dengan Cat Minyak</v>
          </cell>
          <cell r="D52">
            <v>52004.874499999998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 t="str">
            <v>A.5.1.1 14.</v>
          </cell>
          <cell r="C54" t="str">
            <v>Pemasangan 1 buah floor drain</v>
          </cell>
          <cell r="D54">
            <v>102522.5</v>
          </cell>
        </row>
        <row r="55">
          <cell r="B55" t="str">
            <v>A.5.1.1 19.</v>
          </cell>
          <cell r="C55" t="str">
            <v>Pemasangan 1 buah kran diameter 1/2" atau 3/4"</v>
          </cell>
          <cell r="D55">
            <v>218902.5</v>
          </cell>
        </row>
        <row r="56">
          <cell r="B56" t="str">
            <v>A.5.1.1 2.</v>
          </cell>
          <cell r="C56" t="str">
            <v>Pemasangan 1 buah closet jongkok porselen</v>
          </cell>
          <cell r="D56">
            <v>1152231</v>
          </cell>
        </row>
        <row r="57">
          <cell r="B57" t="str">
            <v>A.5.1.1 4.</v>
          </cell>
          <cell r="C57" t="str">
            <v>Pemasangan 1 buah urinoir</v>
          </cell>
          <cell r="D57">
            <v>3477646</v>
          </cell>
        </row>
        <row r="58">
          <cell r="B58" t="str">
            <v>A.5.1.1 26.</v>
          </cell>
          <cell r="C58" t="str">
            <v>Pemasangan 1 m’ pipa PVC tipe AW diameter ¾ ”</v>
          </cell>
          <cell r="D58">
            <v>77237.909999999989</v>
          </cell>
        </row>
        <row r="59">
          <cell r="B59" t="str">
            <v>A.5.1.1 31.</v>
          </cell>
          <cell r="C59" t="str">
            <v>Pemasangan 1 m’ pipa PVC tipe AW diameter 3”</v>
          </cell>
          <cell r="D59">
            <v>174035.82500000001</v>
          </cell>
        </row>
        <row r="60">
          <cell r="B60" t="str">
            <v>A.5.1.1 32.</v>
          </cell>
          <cell r="C60" t="str">
            <v>Pemasangan 1 m’ pipa PVC tipe AW diameter 4”</v>
          </cell>
          <cell r="D60">
            <v>189718.25999999998</v>
          </cell>
        </row>
        <row r="61">
          <cell r="B61" t="str">
            <v>A.5.1.1 28.</v>
          </cell>
          <cell r="C61" t="str">
            <v>Pemasangan 1 m’ pipa PVC tipe AW diameter 2 ”</v>
          </cell>
          <cell r="D61">
            <v>92874</v>
          </cell>
        </row>
        <row r="62">
          <cell r="B62" t="str">
            <v>A.5.1.1 27.</v>
          </cell>
          <cell r="C62" t="str">
            <v>Pemasangan 1 m’ pipa PVC diameter 1 ”</v>
          </cell>
          <cell r="D62">
            <v>80396.5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 t="str">
            <v>A.A.4.1.1.4</v>
          </cell>
          <cell r="C64" t="str">
            <v>Membuat 1 m3 lantai kerja beton mutu f’c = 7,4 MPa slump (3-6)
cm, w/c = 0,87</v>
          </cell>
          <cell r="D64">
            <v>990180.97268907563</v>
          </cell>
        </row>
        <row r="65">
          <cell r="B65" t="str">
            <v>A.4.2.1.20.</v>
          </cell>
          <cell r="C65" t="str">
            <v>Pemasangan 1 m2 rangka besi hollow 1x40.40.2mm, modul 60 x
120 cm, untuk partisi</v>
          </cell>
          <cell r="D65">
            <v>250803.5</v>
          </cell>
        </row>
        <row r="66">
          <cell r="B66" t="str">
            <v>A.4.4.3.64.</v>
          </cell>
          <cell r="C66" t="str">
            <v>Pemasangan 1 m2 paving block natural tebal 6 cm</v>
          </cell>
          <cell r="D66">
            <v>208896.35</v>
          </cell>
        </row>
        <row r="67">
          <cell r="B67" t="str">
            <v>A.4.6.2.20.</v>
          </cell>
          <cell r="C67" t="str">
            <v>Pemasangan 1 m2 kaca cermin tebal 5 mm</v>
          </cell>
          <cell r="D67">
            <v>212278.5</v>
          </cell>
        </row>
        <row r="68">
          <cell r="B68" t="str">
            <v>A.5.1.1 12.</v>
          </cell>
          <cell r="C68" t="str">
            <v>Pemasangan 1 unit Bak Cuci Piring Stainless</v>
          </cell>
          <cell r="D68">
            <v>813567.5</v>
          </cell>
        </row>
        <row r="69">
          <cell r="B69" t="str">
            <v>A.5.1.1 28.</v>
          </cell>
          <cell r="C69" t="str">
            <v>Pemasangan 1 m’ pipa PVC tipe AW diameter 2 ”</v>
          </cell>
          <cell r="D69">
            <v>92874</v>
          </cell>
        </row>
        <row r="70">
          <cell r="B70" t="str">
            <v>A.4.4.2.27.A</v>
          </cell>
          <cell r="C70" t="str">
            <v>Pemasangan 1 m2 acian Dengan Lemkra</v>
          </cell>
          <cell r="D70">
            <v>81075</v>
          </cell>
        </row>
        <row r="71">
          <cell r="B71">
            <v>0</v>
          </cell>
          <cell r="C71">
            <v>0</v>
          </cell>
          <cell r="D71">
            <v>0</v>
          </cell>
        </row>
        <row r="72">
          <cell r="B72" t="str">
            <v>A.4.2.1.3.</v>
          </cell>
          <cell r="C72" t="str">
            <v xml:space="preserve">Pengerjaan 100 kg pekerjaan perakitan
</v>
          </cell>
          <cell r="D72">
            <v>4086.5250000000001</v>
          </cell>
        </row>
        <row r="73">
          <cell r="B73" t="str">
            <v>A.4.1.1.19.</v>
          </cell>
          <cell r="C73" t="str">
            <v>Pembesian 1 kg dengan jaring kawat baja (wiremesh)</v>
          </cell>
          <cell r="D73">
            <v>17097.095999999998</v>
          </cell>
        </row>
        <row r="74">
          <cell r="B74" t="str">
            <v>Elc.1</v>
          </cell>
          <cell r="C74" t="str">
            <v>Pemasangan 1 buah Stop Kontak Tanam</v>
          </cell>
          <cell r="D74">
            <v>96303.3</v>
          </cell>
        </row>
        <row r="75">
          <cell r="B75" t="str">
            <v>Elc.2</v>
          </cell>
          <cell r="C75" t="str">
            <v>Pemasangan 1 buah saklar ganda</v>
          </cell>
          <cell r="D75">
            <v>61458.3</v>
          </cell>
        </row>
        <row r="76">
          <cell r="B76" t="str">
            <v>Elc.3</v>
          </cell>
          <cell r="C76" t="str">
            <v>Pemasangan 1 buah saklar tunggal</v>
          </cell>
          <cell r="D76">
            <v>48405.8</v>
          </cell>
        </row>
        <row r="77">
          <cell r="B77" t="str">
            <v>Anl. Epoxy.1</v>
          </cell>
          <cell r="C77" t="str">
            <v>Pengecatan 1 m2 permukaan lantai dengan Epoxy 500 micron</v>
          </cell>
          <cell r="D77">
            <v>305155.95</v>
          </cell>
        </row>
        <row r="78">
          <cell r="B78" t="str">
            <v>Dihitung.2</v>
          </cell>
          <cell r="C78" t="str">
            <v xml:space="preserve">Pemasangan 1M' kawat Duri Silet </v>
          </cell>
          <cell r="D78">
            <v>86455.85</v>
          </cell>
        </row>
        <row r="79">
          <cell r="B79" t="str">
            <v>Dihitung.3</v>
          </cell>
          <cell r="C79" t="str">
            <v>Memasang 1 unit Tandon Air kap 1000 Liter</v>
          </cell>
          <cell r="D79">
            <v>3691500</v>
          </cell>
        </row>
        <row r="80">
          <cell r="B80" t="str">
            <v>Dihitung.4</v>
          </cell>
          <cell r="C80" t="str">
            <v>Memasang 1 unit Mesin Jet Pump</v>
          </cell>
          <cell r="D80">
            <v>7187500</v>
          </cell>
        </row>
        <row r="81">
          <cell r="B81" t="str">
            <v>Dihitung.5</v>
          </cell>
          <cell r="C81" t="str">
            <v>Membuat Sumur Bor Kedalaman 30 m</v>
          </cell>
          <cell r="D81">
            <v>8170911</v>
          </cell>
        </row>
        <row r="82">
          <cell r="B82" t="str">
            <v>Dihitung.6</v>
          </cell>
          <cell r="C82" t="str">
            <v>Membuat 1 Unit Bak Kontrol Uk 40x40 cm</v>
          </cell>
          <cell r="D82">
            <v>393573.74048000004</v>
          </cell>
        </row>
        <row r="83">
          <cell r="B83" t="str">
            <v>Dihitung.7</v>
          </cell>
          <cell r="C83" t="str">
            <v xml:space="preserve">Pemasangan Tiang Jemuran </v>
          </cell>
          <cell r="D83">
            <v>3021740</v>
          </cell>
        </row>
        <row r="84">
          <cell r="B84" t="str">
            <v>Dihitung.8</v>
          </cell>
          <cell r="C84" t="str">
            <v>Pemasangan 1 batang Cerucuk kayu</v>
          </cell>
          <cell r="D84">
            <v>56120</v>
          </cell>
        </row>
        <row r="85">
          <cell r="B85" t="str">
            <v>Dihitung.9</v>
          </cell>
          <cell r="C85" t="str">
            <v>Pemasangan 1 Unit Panel Box Lengkap</v>
          </cell>
          <cell r="D85">
            <v>5786110</v>
          </cell>
        </row>
        <row r="86">
          <cell r="B86" t="str">
            <v>Dihitung.10</v>
          </cell>
          <cell r="C86" t="str">
            <v>Pemasangan Rangka Plafond Furing</v>
          </cell>
          <cell r="D86">
            <v>61106.271200000003</v>
          </cell>
        </row>
        <row r="87">
          <cell r="B87" t="str">
            <v>Dihitung.11</v>
          </cell>
          <cell r="C87" t="str">
            <v>Pemasangan 1 m2 Rangka Atap Baja Ringan</v>
          </cell>
          <cell r="D87">
            <v>136203.125</v>
          </cell>
        </row>
        <row r="88">
          <cell r="B88" t="str">
            <v>Dihitung.12</v>
          </cell>
          <cell r="C88" t="str">
            <v>Pemasangan 1M' Listplang ukir</v>
          </cell>
          <cell r="D88">
            <v>128672.0625</v>
          </cell>
        </row>
        <row r="89">
          <cell r="B89" t="str">
            <v>Dihitung.13</v>
          </cell>
          <cell r="C89" t="str">
            <v>Pemasangan 1 m2 dinding pemisah plywood rangkap</v>
          </cell>
          <cell r="D89">
            <v>221684.0625</v>
          </cell>
        </row>
        <row r="90">
          <cell r="B90" t="str">
            <v>Dihitung.14</v>
          </cell>
          <cell r="C90" t="str">
            <v>Pemasangan 1 m2 Sekat Akrilik Bening Frame hollow</v>
          </cell>
          <cell r="D90">
            <v>1813636.25</v>
          </cell>
        </row>
        <row r="91">
          <cell r="B91" t="str">
            <v>Dihitung.15</v>
          </cell>
          <cell r="C91" t="str">
            <v xml:space="preserve"> Pemasangan 1 m2   bekisting untuk lantai Menggunakan Plat Bondek 0.70 mm</v>
          </cell>
          <cell r="D91">
            <v>376843.5</v>
          </cell>
        </row>
        <row r="92">
          <cell r="B92" t="str">
            <v>Dihitung.16</v>
          </cell>
          <cell r="C92" t="str">
            <v>Pemasangan 1 M' Plat Slinder Pengamanan Diameter 1m</v>
          </cell>
          <cell r="D92">
            <v>641861</v>
          </cell>
        </row>
        <row r="93">
          <cell r="B93">
            <v>0</v>
          </cell>
          <cell r="C93">
            <v>0</v>
          </cell>
          <cell r="D93">
            <v>0</v>
          </cell>
        </row>
        <row r="94">
          <cell r="B94" t="str">
            <v>PK Pen. Petir .1</v>
          </cell>
          <cell r="C94" t="str">
            <v>Pasang 1 Unit Thomas sistem 80 m</v>
          </cell>
          <cell r="D94">
            <v>10079750</v>
          </cell>
        </row>
        <row r="95">
          <cell r="B95" t="str">
            <v>PK Pen. Petir .2</v>
          </cell>
          <cell r="C95" t="str">
            <v>Pasang 1 meter kable BC 50 mm</v>
          </cell>
          <cell r="D95">
            <v>160195</v>
          </cell>
        </row>
        <row r="96">
          <cell r="B96" t="str">
            <v>PK Pen. Petir .3</v>
          </cell>
          <cell r="C96" t="str">
            <v>Pasang 1 meter kable NYA 50 mm</v>
          </cell>
          <cell r="D96">
            <v>169395</v>
          </cell>
        </row>
        <row r="97">
          <cell r="B97" t="str">
            <v>PK Pen. Petir .4</v>
          </cell>
          <cell r="C97" t="str">
            <v>Pasang 1 meter Tiang galvanis di. 2"</v>
          </cell>
          <cell r="D97">
            <v>200445</v>
          </cell>
        </row>
        <row r="98">
          <cell r="B98" t="str">
            <v>PK Pen. Petir .5</v>
          </cell>
          <cell r="C98" t="str">
            <v>Pasang 1 Unit suport Tiang Penangkal petir</v>
          </cell>
          <cell r="D98">
            <v>539350</v>
          </cell>
        </row>
        <row r="99">
          <cell r="B99" t="str">
            <v>PK Pen. Petir .6</v>
          </cell>
          <cell r="C99" t="str">
            <v xml:space="preserve">Pasang 1 meter kabel power lampu tiang NYYhy 2 x 1,5 mm </v>
          </cell>
          <cell r="D99">
            <v>41342.5</v>
          </cell>
        </row>
        <row r="100">
          <cell r="B100" t="str">
            <v>PK Pen. Petir .7</v>
          </cell>
          <cell r="C100" t="str">
            <v xml:space="preserve">Pasang 1 Unit lampu tower c/w fotocell celcon </v>
          </cell>
          <cell r="D100">
            <v>1203475</v>
          </cell>
        </row>
        <row r="101">
          <cell r="B101">
            <v>0</v>
          </cell>
          <cell r="C101">
            <v>0</v>
          </cell>
          <cell r="D101">
            <v>0</v>
          </cell>
        </row>
        <row r="102">
          <cell r="B102" t="str">
            <v>Hit. P1C</v>
          </cell>
          <cell r="C102" t="str">
            <v>Membuat 1 unit Pintu Type P1 - Rumah dinas C</v>
          </cell>
          <cell r="D102">
            <v>2929800.0420000004</v>
          </cell>
        </row>
        <row r="103">
          <cell r="B103" t="str">
            <v>Hit.TR-P1C</v>
          </cell>
          <cell r="C103" t="str">
            <v>Membuat 1 unit Teralis - Pintu Type P1 - Rumah dinas C</v>
          </cell>
          <cell r="D103">
            <v>1470515.9991096766</v>
          </cell>
        </row>
        <row r="104">
          <cell r="B104" t="str">
            <v>Hit. P2C</v>
          </cell>
          <cell r="C104" t="str">
            <v>Membuat 1 unit Pintu Type P2 - Rumah dinas C</v>
          </cell>
          <cell r="D104">
            <v>2456020.2850000001</v>
          </cell>
        </row>
        <row r="105">
          <cell r="B105" t="str">
            <v>Hit.TR-P2C</v>
          </cell>
          <cell r="C105" t="str">
            <v>Membuat 1 unit Teralis - Pintu Type P2 - Rumah dinas C</v>
          </cell>
          <cell r="D105">
            <v>1418474.6740347978</v>
          </cell>
        </row>
        <row r="106">
          <cell r="B106" t="str">
            <v>Hit. P3C</v>
          </cell>
          <cell r="C106" t="str">
            <v>Membuat 1 unit Pintu Type P3 - Rumah dinas C</v>
          </cell>
          <cell r="D106">
            <v>2293103.4649999999</v>
          </cell>
        </row>
        <row r="107">
          <cell r="B107" t="str">
            <v>Hit. J1C</v>
          </cell>
          <cell r="C107" t="str">
            <v>Membuat 1 unit Jendela Type J1 - Rumah dinas C</v>
          </cell>
          <cell r="D107">
            <v>1818797.8649999998</v>
          </cell>
        </row>
        <row r="108">
          <cell r="B108" t="str">
            <v>Hit.TR-J1C</v>
          </cell>
          <cell r="C108" t="str">
            <v>Membuat 1 unit Teralis - Jendela Type J1 - Rumah dinas C</v>
          </cell>
          <cell r="D108">
            <v>1732328.4881538935</v>
          </cell>
        </row>
        <row r="109">
          <cell r="B109" t="str">
            <v>Hit. J2C</v>
          </cell>
          <cell r="C109" t="str">
            <v>Membuat 1 unit Jendela Type J2 - Rumah dinas C</v>
          </cell>
          <cell r="D109">
            <v>3559741.3510000003</v>
          </cell>
        </row>
        <row r="110">
          <cell r="B110" t="str">
            <v>Hit.TR-J2C</v>
          </cell>
          <cell r="C110" t="str">
            <v>Membuat 1 unit Teralis - Jendela Type J2 - Rumah dinas C</v>
          </cell>
          <cell r="D110">
            <v>3464656.976307787</v>
          </cell>
        </row>
        <row r="111">
          <cell r="B111" t="str">
            <v>Hit. J3C</v>
          </cell>
          <cell r="C111" t="str">
            <v>Membuat 1 unit Jendela Type J3 - Rumah dinas C</v>
          </cell>
          <cell r="D111">
            <v>6015106.398000001</v>
          </cell>
        </row>
        <row r="112">
          <cell r="B112" t="str">
            <v>Hit.TR-J3C</v>
          </cell>
          <cell r="C112" t="str">
            <v>Membuat 1 unit Teralis - Jendela Type J3 - Rumah dinas C</v>
          </cell>
          <cell r="D112">
            <v>5196985.4644616805</v>
          </cell>
        </row>
        <row r="113">
          <cell r="B113" t="str">
            <v>Hit. V1C</v>
          </cell>
          <cell r="C113" t="str">
            <v>Membuat 1 unit Ventilasi V1 - Rumah dinas C</v>
          </cell>
          <cell r="D113">
            <v>412024.484</v>
          </cell>
        </row>
        <row r="114">
          <cell r="B114" t="str">
            <v>Hit. P1D</v>
          </cell>
          <cell r="C114" t="str">
            <v>Membuat 1 unit Pintu Type P1 - Rumah dinas D</v>
          </cell>
          <cell r="D114">
            <v>2630312.7439999999</v>
          </cell>
        </row>
        <row r="115">
          <cell r="B115" t="str">
            <v>Hit.TR-P1D</v>
          </cell>
          <cell r="C115" t="str">
            <v>Membuat 1 unit Teralis - Pintu Type P1 - Rumah dinas D</v>
          </cell>
          <cell r="D115">
            <v>1458830.0035091806</v>
          </cell>
        </row>
        <row r="116">
          <cell r="B116" t="str">
            <v>Hit. P2D</v>
          </cell>
          <cell r="C116" t="str">
            <v>Membuat 1 unit Pintu Type P2 - Rumah dinas D</v>
          </cell>
          <cell r="D116">
            <v>2456020.2850000001</v>
          </cell>
        </row>
        <row r="117">
          <cell r="B117" t="str">
            <v>Hit.TR-P2D</v>
          </cell>
          <cell r="C117" t="str">
            <v>Membuat 1 unit Teralis - Pintu Type P2 - Rumah dinas D</v>
          </cell>
          <cell r="D117">
            <v>1433964.1914036807</v>
          </cell>
        </row>
        <row r="118">
          <cell r="B118" t="str">
            <v>Hit. P3D</v>
          </cell>
          <cell r="C118" t="str">
            <v>Membuat 1 unit Pintu Type P3 - Rumah dinas D</v>
          </cell>
          <cell r="D118">
            <v>2293103.4649999999</v>
          </cell>
        </row>
        <row r="119">
          <cell r="B119" t="str">
            <v>Hit. J1D</v>
          </cell>
          <cell r="C119" t="str">
            <v>Membuat 1 unit Jendela Type J1 - Rumah dinas D</v>
          </cell>
          <cell r="D119">
            <v>3623395.7369999997</v>
          </cell>
        </row>
        <row r="120">
          <cell r="B120" t="str">
            <v>Hit.TR-J1D</v>
          </cell>
          <cell r="C120" t="str">
            <v>Membuat 1 unit Teralis - Jendela Type J1 - Rumah dinas D</v>
          </cell>
          <cell r="D120">
            <v>3743318.0013738293</v>
          </cell>
        </row>
        <row r="121">
          <cell r="B121" t="str">
            <v>Hit. J2D</v>
          </cell>
          <cell r="C121" t="str">
            <v>Membuat 1 unit Jendela Type J2 - Rumah dinas D</v>
          </cell>
          <cell r="D121">
            <v>2838594.36</v>
          </cell>
        </row>
        <row r="122">
          <cell r="B122" t="str">
            <v>Hit.TR-J2D</v>
          </cell>
          <cell r="C122" t="str">
            <v>Membuat 1 unit Teralis - Jendela Type J2 - Rumah dinas D</v>
          </cell>
          <cell r="D122">
            <v>3394991.7200412764</v>
          </cell>
        </row>
        <row r="123">
          <cell r="B123" t="str">
            <v>Hit. J3D</v>
          </cell>
          <cell r="C123" t="str">
            <v>Membuat 1 unit Jendela Type J3 - Rumah dinas D</v>
          </cell>
          <cell r="D123">
            <v>4773138.62</v>
          </cell>
        </row>
        <row r="124">
          <cell r="B124" t="str">
            <v>Hit.TR-J3D</v>
          </cell>
          <cell r="C124" t="str">
            <v>Membuat 1 unit Teralis - Jendela Type J3 - Rumah dinas D</v>
          </cell>
          <cell r="D124">
            <v>5614977.002060744</v>
          </cell>
        </row>
        <row r="125">
          <cell r="B125" t="str">
            <v>Hit. V1D</v>
          </cell>
          <cell r="C125" t="str">
            <v>Membuat 1 unit Ventilasi V1 - Rumah dinas D</v>
          </cell>
          <cell r="D125">
            <v>460800.4</v>
          </cell>
        </row>
        <row r="126">
          <cell r="B126">
            <v>0</v>
          </cell>
          <cell r="C126">
            <v>0</v>
          </cell>
          <cell r="D12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KAP RAB"/>
      <sheetName val="RAB"/>
      <sheetName val="ANALISA"/>
      <sheetName val="ANL KOZEN"/>
      <sheetName val="REKAP ANL"/>
      <sheetName val="UPAH &amp; BAHAN"/>
      <sheetName val="BV Persiapan"/>
      <sheetName val="LANTAI 2"/>
      <sheetName val="LANTAI 3"/>
      <sheetName val="BV Pondasi"/>
      <sheetName val="BV Dinding "/>
      <sheetName val="BV Lantai"/>
      <sheetName val="BV Atap"/>
      <sheetName val="BV MEP"/>
      <sheetName val="BV Kozen"/>
      <sheetName val="BV Cat"/>
      <sheetName val="BV Sarpras"/>
      <sheetName val="K3"/>
      <sheetName val="ANL. Partisi"/>
      <sheetName val="SPRINKLER SYSTEM"/>
      <sheetName val="FIRE ALARM"/>
      <sheetName val="HYDRANT SYSTEM"/>
      <sheetName val="PUMPROOM"/>
      <sheetName val="DASAR "/>
      <sheetName val="harga besi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REKAP ANALISA HARGA SATUAN PEKERJAN</v>
          </cell>
          <cell r="C2">
            <v>0</v>
          </cell>
          <cell r="D2">
            <v>0</v>
          </cell>
        </row>
        <row r="3">
          <cell r="B3">
            <v>0</v>
          </cell>
          <cell r="C3">
            <v>0</v>
          </cell>
          <cell r="D3">
            <v>0</v>
          </cell>
        </row>
        <row r="4">
          <cell r="B4" t="str">
            <v>ANALISA</v>
          </cell>
          <cell r="C4" t="str">
            <v>PEKERJAAN</v>
          </cell>
          <cell r="D4" t="str">
            <v>HARGA SATUAN</v>
          </cell>
        </row>
        <row r="5">
          <cell r="B5">
            <v>0</v>
          </cell>
          <cell r="C5">
            <v>0</v>
          </cell>
          <cell r="D5">
            <v>0</v>
          </cell>
        </row>
        <row r="6">
          <cell r="B6" t="str">
            <v>A. 2.3.1.1. A</v>
          </cell>
          <cell r="C6" t="str">
            <v>1M' Pengukuran dan Pemasangan Bowplank</v>
          </cell>
          <cell r="D6">
            <v>95870.382500000007</v>
          </cell>
        </row>
        <row r="7">
          <cell r="B7" t="str">
            <v xml:space="preserve"> A.2.2.1.2</v>
          </cell>
          <cell r="C7" t="str">
            <v>Pembuatan 1 m2 pagar sementara dari seng gelombang tinggi 2 meter</v>
          </cell>
          <cell r="D7">
            <v>336941.30599999992</v>
          </cell>
        </row>
        <row r="8">
          <cell r="B8" t="str">
            <v>A.2.2.1.12.</v>
          </cell>
          <cell r="C8" t="str">
            <v>Pembuatan 1 m2 jalan sementara</v>
          </cell>
          <cell r="D8">
            <v>285407.17249999999</v>
          </cell>
        </row>
        <row r="9">
          <cell r="B9" t="str">
            <v>A.2.3.1.1.</v>
          </cell>
          <cell r="C9" t="str">
            <v>Penggalian 1 m3 tanah biasa sedalam 1 m</v>
          </cell>
          <cell r="D9">
            <v>105235.35</v>
          </cell>
        </row>
        <row r="10">
          <cell r="B10" t="str">
            <v>A.2.3.1.10.</v>
          </cell>
          <cell r="C10" t="str">
            <v>Pemadatan 1 m3 tanah ( per 20 cm)</v>
          </cell>
          <cell r="D10">
            <v>105235.35</v>
          </cell>
        </row>
        <row r="11">
          <cell r="B11" t="str">
            <v>A.2.3.1.10.A</v>
          </cell>
          <cell r="C11" t="str">
            <v>Pengurugan 1 m3 dengan Tanah urug</v>
          </cell>
          <cell r="D11">
            <v>145825.52000000002</v>
          </cell>
        </row>
        <row r="12">
          <cell r="B12" t="str">
            <v xml:space="preserve">Anl. PDA </v>
          </cell>
          <cell r="C12" t="str">
            <v>Analisa PDA test Per titik</v>
          </cell>
          <cell r="D12">
            <v>11613562.5</v>
          </cell>
        </row>
        <row r="13">
          <cell r="B13" t="str">
            <v>A.2.3.1.11.</v>
          </cell>
          <cell r="C13" t="str">
            <v>Pengurugan 1 m3 dengan pasir urug</v>
          </cell>
          <cell r="D13">
            <v>221725.52</v>
          </cell>
        </row>
        <row r="14">
          <cell r="B14" t="str">
            <v>A.2.3.1.9.</v>
          </cell>
          <cell r="C14" t="str">
            <v>Pengurugan kembali 1 m3 galian tanah</v>
          </cell>
          <cell r="D14">
            <v>105235.35</v>
          </cell>
        </row>
        <row r="15">
          <cell r="B15" t="str">
            <v>A.4.1.1.17.</v>
          </cell>
          <cell r="C15" t="str">
            <v>Pembesian 1 kg dengan besi polos Pembesian untuk 10 kg dengan besi polos/ulir</v>
          </cell>
          <cell r="D15">
            <v>27463.224750000001</v>
          </cell>
        </row>
        <row r="16">
          <cell r="B16" t="str">
            <v>A.4.1.1.24.</v>
          </cell>
          <cell r="C16" t="str">
            <v>Pemasangan 1 m2 bekisting untuk lantai</v>
          </cell>
          <cell r="D16">
            <v>475740.06150000001</v>
          </cell>
        </row>
        <row r="17">
          <cell r="B17" t="str">
            <v>A.4.1.1.21.A</v>
          </cell>
          <cell r="C17" t="str">
            <v>Pemasangan 1 m2 bekisting untuk sloof 2 x Pakai</v>
          </cell>
          <cell r="D17">
            <v>215399.5655</v>
          </cell>
        </row>
        <row r="18">
          <cell r="B18" t="str">
            <v>A.4.1.1.22.A</v>
          </cell>
          <cell r="C18" t="str">
            <v>Pemasangan 1 m2 bekisting untuk kolom 2 X Pakai</v>
          </cell>
          <cell r="D18">
            <v>353265.06150000001</v>
          </cell>
        </row>
        <row r="19">
          <cell r="B19" t="str">
            <v>A.4.1.1.23.A</v>
          </cell>
          <cell r="C19" t="str">
            <v>Pemasangan 1 m2 bekisting untuk balok 2 x Pakai</v>
          </cell>
          <cell r="D19">
            <v>357836.31150000001</v>
          </cell>
        </row>
        <row r="20">
          <cell r="B20" t="str">
            <v>A.4.1.1.24.A</v>
          </cell>
          <cell r="C20" t="str">
            <v>Pemasangan 1 m2 bekisting untuk lantai 2X PAKAI</v>
          </cell>
          <cell r="D20">
            <v>342915.06150000001</v>
          </cell>
        </row>
        <row r="21">
          <cell r="B21" t="str">
            <v>A.4.1.1.26</v>
          </cell>
          <cell r="C21" t="str">
            <v>Pemasangan 1 m2 bekisting untuk tangga</v>
          </cell>
          <cell r="D21">
            <v>461077.56150000001</v>
          </cell>
        </row>
        <row r="22">
          <cell r="B22" t="str">
            <v>A.4.1.1.35.</v>
          </cell>
          <cell r="C22" t="str">
            <v>Membuat 1 m’ kolom praktis beton bertulang (11 x 11) cm</v>
          </cell>
          <cell r="D22">
            <v>152069.16899999999</v>
          </cell>
        </row>
        <row r="23">
          <cell r="B23" t="str">
            <v>A.4.1.1.36.</v>
          </cell>
          <cell r="C23" t="str">
            <v>Membuat 1 m’ ring balok beton bertulang (10 x 15) cm</v>
          </cell>
          <cell r="D23">
            <v>197227.40924999997</v>
          </cell>
        </row>
        <row r="24">
          <cell r="B24" t="str">
            <v>A.3.2.1.1.</v>
          </cell>
          <cell r="C24" t="str">
            <v>Pemasangan 1 m3 pondasi batu kali campuran 1SP : 3PP</v>
          </cell>
          <cell r="D24">
            <v>1477045.9125000001</v>
          </cell>
        </row>
        <row r="25">
          <cell r="B25" t="str">
            <v>A.4.1.1.8.</v>
          </cell>
          <cell r="C25" t="str">
            <v>Membuat 1 m3 beton mutu f’c = 26,4 Mpa (K300)</v>
          </cell>
          <cell r="D25">
            <v>1886777.8840630252</v>
          </cell>
        </row>
        <row r="26">
          <cell r="B26" t="str">
            <v>A.4.2.1.1.</v>
          </cell>
          <cell r="C26" t="str">
            <v>Pemasangan 1 kg besi profil</v>
          </cell>
          <cell r="D26">
            <v>64974.804499999998</v>
          </cell>
        </row>
        <row r="27">
          <cell r="B27" t="str">
            <v>A.4.2.1.11.A.</v>
          </cell>
          <cell r="C27" t="str">
            <v>Pemasangan 1 m kusen pintu &amp; Jendela alluminium 4"</v>
          </cell>
          <cell r="D27">
            <v>185922.179</v>
          </cell>
        </row>
        <row r="28">
          <cell r="B28" t="str">
            <v>A.4.2.1.13.</v>
          </cell>
          <cell r="C28" t="str">
            <v>Pemasangan 1 m2 Daun pintu &amp; Jendela kaca rangka alluminium</v>
          </cell>
          <cell r="D28">
            <v>613954.68024999998</v>
          </cell>
        </row>
        <row r="29">
          <cell r="B29" t="str">
            <v>A.4.6.2.17.</v>
          </cell>
          <cell r="C29" t="str">
            <v>Pemasangan 1 m2 kaca tebal 5 mm</v>
          </cell>
          <cell r="D29">
            <v>219640.05134999999</v>
          </cell>
        </row>
        <row r="30">
          <cell r="B30" t="str">
            <v>A.4.4.1.1a</v>
          </cell>
          <cell r="C30" t="str">
            <v>Pemasangan 1 m2 dinding rollag bata merah (5x11x22)
campuran 1SP :2PP</v>
          </cell>
          <cell r="D30">
            <v>362500.35499999992</v>
          </cell>
        </row>
        <row r="31">
          <cell r="B31" t="str">
            <v>A.4.4.1.2</v>
          </cell>
          <cell r="C31" t="str">
            <v>Pemasangan 1 m2 dinding bata merah (5x11x22) cm tebal 1 batu 
campuran 1SP :4PP</v>
          </cell>
          <cell r="D31">
            <v>340284.07999999996</v>
          </cell>
        </row>
        <row r="32">
          <cell r="B32" t="str">
            <v>A.4.4.1.9</v>
          </cell>
          <cell r="C32" t="str">
            <v>Pemasangan 1 m2 dinding bata merah (5x11x22) cm tebal ½ batu
campuran 1SP :4PP</v>
          </cell>
          <cell r="D32">
            <v>158657.85249999998</v>
          </cell>
        </row>
        <row r="33">
          <cell r="B33" t="str">
            <v>A.4.4.2.27.</v>
          </cell>
          <cell r="C33" t="str">
            <v>Pemasangan 1 m2 acian.</v>
          </cell>
          <cell r="D33">
            <v>70951.78</v>
          </cell>
        </row>
        <row r="34">
          <cell r="B34" t="str">
            <v>A.4.4.2.4.</v>
          </cell>
          <cell r="C34" t="str">
            <v>Pemasangan 1 m2 plesteran 1SP : 4PP tebal 15 mm</v>
          </cell>
          <cell r="D34">
            <v>112635.0825</v>
          </cell>
        </row>
        <row r="35">
          <cell r="B35" t="str">
            <v>A.4.4.3.35.A</v>
          </cell>
          <cell r="C35" t="str">
            <v>Pemasangan 1 m2 keramik ukuran 40cm x 40cm</v>
          </cell>
          <cell r="D35">
            <v>257513.22099999996</v>
          </cell>
        </row>
        <row r="36">
          <cell r="B36" t="str">
            <v>A.4.5.1.7.</v>
          </cell>
          <cell r="C36" t="str">
            <v>Pemasangan 1 m2 langit-langit gypsum board ukuran (120x240x9) mm, tebal 9 mm</v>
          </cell>
          <cell r="D36">
            <v>64666.087000000007</v>
          </cell>
        </row>
        <row r="37">
          <cell r="B37" t="str">
            <v>A.4.2.1.18.</v>
          </cell>
          <cell r="C37" t="str">
            <v>Pemasangan 1 m’ talang datar/ jurai seng bjls 28 lebar 90 cm</v>
          </cell>
          <cell r="D37">
            <v>164554.45450000002</v>
          </cell>
        </row>
        <row r="38">
          <cell r="B38" t="str">
            <v>A.4.5.2.37.</v>
          </cell>
          <cell r="C38" t="str">
            <v>Pemasangan 1 m’ nok genteng metal</v>
          </cell>
          <cell r="D38">
            <v>126434.887</v>
          </cell>
        </row>
        <row r="39">
          <cell r="B39" t="str">
            <v>A.4.5.2.41.</v>
          </cell>
          <cell r="C39" t="str">
            <v>Pemasangan 1m2 Genteng Bitumen Bergelombang Memanjang Monolayer 3 mm</v>
          </cell>
          <cell r="D39">
            <v>244986.61600000004</v>
          </cell>
        </row>
        <row r="40">
          <cell r="B40" t="str">
            <v>A.4.5.2.42.</v>
          </cell>
          <cell r="C40" t="str">
            <v xml:space="preserve">Pemasangan 1m2 Atap Polycarbonate Onduclair </v>
          </cell>
          <cell r="D40">
            <v>446160.08349999995</v>
          </cell>
        </row>
        <row r="41">
          <cell r="B41" t="str">
            <v>A.4.6.2.17.</v>
          </cell>
          <cell r="C41" t="str">
            <v>Pemasangan 1 m2 kaca tebal 5 mm</v>
          </cell>
          <cell r="D41">
            <v>219640.05134999999</v>
          </cell>
        </row>
        <row r="42">
          <cell r="B42" t="str">
            <v>A.4.7.1.10.</v>
          </cell>
          <cell r="C42" t="str">
            <v>Pengecatan Interior 1 m2 tembok baru (1 lapis plamuur, 1 lapis cat dasar, 2
lapis cat penutup)</v>
          </cell>
          <cell r="D42">
            <v>54920.6443</v>
          </cell>
        </row>
        <row r="43">
          <cell r="B43" t="str">
            <v>A.4.7.1.11.</v>
          </cell>
          <cell r="C43" t="str">
            <v>Pengecatan Exterior 1 m2 tembok baru (1 lapis plamuur, 1 lapis cat dasar, 2
lapis cat penutup)</v>
          </cell>
          <cell r="D43">
            <v>66318.892299999992</v>
          </cell>
        </row>
        <row r="44">
          <cell r="B44" t="str">
            <v>A.4.7.1.10.A</v>
          </cell>
          <cell r="C44" t="str">
            <v>Pengecatan 1 m2 Plafond (1 Lapis Cat Dasar, 1 lapis cat penutup)</v>
          </cell>
          <cell r="D44">
            <v>51063.935299999997</v>
          </cell>
        </row>
        <row r="45">
          <cell r="B45" t="str">
            <v>A.4.7.1.16.</v>
          </cell>
          <cell r="C45" t="str">
            <v>Pengecatan 1 m2 permukaan baja dengan Cat Minyak</v>
          </cell>
          <cell r="D45">
            <v>64483.150750000001</v>
          </cell>
        </row>
        <row r="46">
          <cell r="B46" t="str">
            <v>A.5.1.1 14.</v>
          </cell>
          <cell r="C46" t="str">
            <v>Pemasangan 1 buah floor drain</v>
          </cell>
          <cell r="D46">
            <v>109085.20500000002</v>
          </cell>
        </row>
        <row r="47">
          <cell r="B47" t="str">
            <v>A.5.1.1 19.</v>
          </cell>
          <cell r="C47" t="str">
            <v>Pemasangan 1 buah kran diameter 1/2" atau 3/4"</v>
          </cell>
          <cell r="D47">
            <v>242047.285</v>
          </cell>
        </row>
        <row r="48">
          <cell r="B48" t="str">
            <v>A.5.1.1 2.</v>
          </cell>
          <cell r="C48" t="str">
            <v>Pemasangan 1 buah closet jongkok porselen</v>
          </cell>
          <cell r="D48">
            <v>1312444.17</v>
          </cell>
        </row>
        <row r="49">
          <cell r="B49" t="str">
            <v>A.5.1.1 26.</v>
          </cell>
          <cell r="C49" t="str">
            <v>Pemasangan 1 m’ pipa PVC tipe AW diameter ¾ ”</v>
          </cell>
          <cell r="D49">
            <v>45641.015999999996</v>
          </cell>
        </row>
        <row r="50">
          <cell r="B50" t="str">
            <v>A.5.1.1 27.</v>
          </cell>
          <cell r="C50" t="str">
            <v>Pemasangan 1 m’ pipa PVC tipe AW diameter 1 ”</v>
          </cell>
          <cell r="D50">
            <v>50533.978499999997</v>
          </cell>
        </row>
        <row r="51">
          <cell r="B51" t="str">
            <v>A.5.1.1 28.</v>
          </cell>
          <cell r="C51" t="str">
            <v>Pemasangan 1 m’ pipa PVC tipe AW diameter 1 1/2 ”</v>
          </cell>
          <cell r="D51">
            <v>90847.863874999995</v>
          </cell>
        </row>
        <row r="52">
          <cell r="B52" t="str">
            <v>A.5.1.1 29.</v>
          </cell>
          <cell r="C52" t="str">
            <v>Pemasangan 1 m’ pipa PVC tipe AW diameter 2 ”</v>
          </cell>
          <cell r="D52">
            <v>95654.898375000004</v>
          </cell>
        </row>
        <row r="53">
          <cell r="B53" t="str">
            <v>A.5.1.1 30.</v>
          </cell>
          <cell r="C53" t="str">
            <v>Pemasangan 1 m’ pipa PVC tipe AW diameter 2 1/2 ”</v>
          </cell>
          <cell r="D53">
            <v>181513.40387499999</v>
          </cell>
        </row>
        <row r="54">
          <cell r="B54" t="str">
            <v>A.5.1.1 31.</v>
          </cell>
          <cell r="C54" t="str">
            <v>Pemasangan 1 m’ pipa PVC tipe AW diameter 3”</v>
          </cell>
          <cell r="D54">
            <v>177797.66187499999</v>
          </cell>
        </row>
        <row r="55">
          <cell r="B55" t="str">
            <v>A.5.1.1 32.</v>
          </cell>
          <cell r="C55" t="str">
            <v>Pemasangan 1 m’ pipa PVC tipe AW diameter 4”</v>
          </cell>
          <cell r="D55">
            <v>262125.50875000001</v>
          </cell>
        </row>
        <row r="56">
          <cell r="B56" t="str">
            <v>A.A.4.1.1.4</v>
          </cell>
          <cell r="C56" t="str">
            <v>Membuat 1 m3 lantai kerja beton mutu f’c = 7,4 MPa slump (3-6)
cm, w/c = 0,87</v>
          </cell>
          <cell r="D56">
            <v>1407038.3786554621</v>
          </cell>
        </row>
        <row r="57">
          <cell r="B57" t="str">
            <v>A.4.2.1.20.</v>
          </cell>
          <cell r="C57" t="str">
            <v>Pemasangan 1 m2 rangka besi hollow 1x40.40.2mm, modul 60 x
120 cm, untuk partisi</v>
          </cell>
          <cell r="D57">
            <v>306338.886</v>
          </cell>
        </row>
        <row r="58">
          <cell r="B58" t="str">
            <v>A.4.6.2.20.</v>
          </cell>
          <cell r="C58" t="str">
            <v>Pemasangan 1 m2 kaca cermin tebal 5 mm</v>
          </cell>
          <cell r="D58">
            <v>222165.69975</v>
          </cell>
        </row>
        <row r="59">
          <cell r="B59" t="str">
            <v>A.5.1.1 28.</v>
          </cell>
          <cell r="C59" t="str">
            <v>Pemasangan 1 m’ pipa PVC tipe AW diameter 1 1/2 ”</v>
          </cell>
          <cell r="D59">
            <v>90847.863874999995</v>
          </cell>
        </row>
        <row r="60">
          <cell r="B60" t="str">
            <v>A.4.4.2.27.A</v>
          </cell>
          <cell r="C60" t="str">
            <v>Pemasangan 1 m2 acian Dengan Lemkra</v>
          </cell>
          <cell r="D60">
            <v>99543.655000000013</v>
          </cell>
        </row>
        <row r="61">
          <cell r="B61" t="str">
            <v>A.4.2.1.3.</v>
          </cell>
          <cell r="C61" t="str">
            <v xml:space="preserve">Pengerjaan 100 kg pekerjaan perakitan
</v>
          </cell>
          <cell r="D61">
            <v>4196.3061849999995</v>
          </cell>
        </row>
        <row r="62">
          <cell r="B62" t="str">
            <v>A.4.1.1.19.</v>
          </cell>
          <cell r="C62" t="str">
            <v>Pembesian 1 kg dengan jaring kawat baja (wiremesh)</v>
          </cell>
          <cell r="D62">
            <v>20024.611324999998</v>
          </cell>
        </row>
        <row r="63">
          <cell r="B63" t="str">
            <v>Elc.1</v>
          </cell>
          <cell r="C63" t="str">
            <v>Pemasangan 1 buah Stop Kontak Tanam</v>
          </cell>
          <cell r="D63">
            <v>96303.3</v>
          </cell>
        </row>
        <row r="64">
          <cell r="B64" t="str">
            <v>Elc.2</v>
          </cell>
          <cell r="C64" t="str">
            <v>Pemasangan 1 buah saklar ganda</v>
          </cell>
          <cell r="D64">
            <v>61458.3</v>
          </cell>
        </row>
        <row r="65">
          <cell r="B65" t="str">
            <v>Elc.3</v>
          </cell>
          <cell r="C65" t="str">
            <v>Pemasangan 1 buah saklar tunggal</v>
          </cell>
          <cell r="D65">
            <v>48405.8</v>
          </cell>
        </row>
        <row r="66">
          <cell r="B66" t="str">
            <v>Anl. Epoxy.1</v>
          </cell>
          <cell r="C66" t="str">
            <v>Pengecatan 1 m2 permukaan lantai dengan Epoxy 500 micron</v>
          </cell>
          <cell r="D66">
            <v>336071.21599999996</v>
          </cell>
        </row>
        <row r="67">
          <cell r="B67" t="str">
            <v>Dihitung.2</v>
          </cell>
          <cell r="C67" t="str">
            <v xml:space="preserve">Pemasangan 1 M' kawat Duri Silet </v>
          </cell>
          <cell r="D67">
            <v>98108.719499999992</v>
          </cell>
        </row>
        <row r="68">
          <cell r="B68" t="str">
            <v>Dihitung.3</v>
          </cell>
          <cell r="C68" t="str">
            <v>Pemasangan 1 unit Tandon Air kap 2000 Liter</v>
          </cell>
          <cell r="D68">
            <v>4956500</v>
          </cell>
        </row>
        <row r="69">
          <cell r="B69" t="str">
            <v>Dihitung.4</v>
          </cell>
          <cell r="C69" t="str">
            <v>Pemasangan 1 unit Mesin Jet Pump</v>
          </cell>
          <cell r="D69">
            <v>10508125</v>
          </cell>
        </row>
        <row r="70">
          <cell r="B70" t="str">
            <v>Dihitung.9</v>
          </cell>
          <cell r="C70" t="str">
            <v>Pemasangan 1 Unit Panel Box MDP Blok</v>
          </cell>
          <cell r="D70">
            <v>5786110</v>
          </cell>
        </row>
        <row r="71">
          <cell r="B71" t="str">
            <v>Dihitung.16</v>
          </cell>
          <cell r="C71" t="str">
            <v>Pemasangan 1 M' Plat Slinder Pengamanan Diameter 1m</v>
          </cell>
          <cell r="D71">
            <v>1560023.3</v>
          </cell>
        </row>
        <row r="72">
          <cell r="B72" t="str">
            <v>Hit. P1</v>
          </cell>
          <cell r="C72" t="str">
            <v>Membuat 1 unit Pintu P1</v>
          </cell>
          <cell r="D72">
            <v>13444995.882078031</v>
          </cell>
        </row>
        <row r="73">
          <cell r="B73" t="str">
            <v>Hit. P2</v>
          </cell>
          <cell r="C73" t="str">
            <v>Membuat 1 unit Pintu P2</v>
          </cell>
          <cell r="D73">
            <v>21712610.896354977</v>
          </cell>
        </row>
        <row r="74">
          <cell r="B74" t="str">
            <v>Hit. P3</v>
          </cell>
          <cell r="C74" t="str">
            <v>Membuat 1 unit Pintu P3</v>
          </cell>
          <cell r="D74">
            <v>29655050.248120811</v>
          </cell>
        </row>
        <row r="75">
          <cell r="B75" t="str">
            <v>Hit. P4</v>
          </cell>
          <cell r="C75" t="str">
            <v>Membuat 1 unit Pintu P4</v>
          </cell>
          <cell r="D75">
            <v>16313469.201580383</v>
          </cell>
        </row>
        <row r="76">
          <cell r="B76" t="str">
            <v>Hit. P5</v>
          </cell>
          <cell r="C76" t="str">
            <v>Membuat 1 unit Pintu P5</v>
          </cell>
          <cell r="D76">
            <v>10570034.62868681</v>
          </cell>
        </row>
        <row r="77">
          <cell r="B77" t="str">
            <v>Hit. P6</v>
          </cell>
          <cell r="C77" t="str">
            <v>Membuat 1 unit Pintu P6</v>
          </cell>
          <cell r="D77">
            <v>21481480.876038101</v>
          </cell>
        </row>
        <row r="78">
          <cell r="B78" t="str">
            <v>Hit. P7</v>
          </cell>
          <cell r="C78" t="str">
            <v>Membuat 1 unit Pintu P7</v>
          </cell>
          <cell r="D78">
            <v>10905829.459223619</v>
          </cell>
        </row>
        <row r="79">
          <cell r="B79" t="str">
            <v>Hit. P8</v>
          </cell>
          <cell r="C79" t="str">
            <v>Membuat 1 unit Pintu P8</v>
          </cell>
          <cell r="D79">
            <v>12661517.893479591</v>
          </cell>
        </row>
        <row r="80">
          <cell r="B80" t="str">
            <v>Hit. P9</v>
          </cell>
          <cell r="C80" t="str">
            <v>Membuat 1 unit Pintu P9</v>
          </cell>
          <cell r="D80">
            <v>22092154.610864006</v>
          </cell>
        </row>
        <row r="81">
          <cell r="B81" t="str">
            <v>Hit. P10</v>
          </cell>
          <cell r="C81" t="str">
            <v>Membuat 1 unit Pintu P10</v>
          </cell>
          <cell r="D81">
            <v>1830963.0115499999</v>
          </cell>
        </row>
        <row r="82">
          <cell r="B82" t="str">
            <v>Hit. PG1</v>
          </cell>
          <cell r="C82" t="str">
            <v>Membuat 1 unit Pintu gudang PG1</v>
          </cell>
          <cell r="D82">
            <v>33111890.654570468</v>
          </cell>
        </row>
        <row r="83">
          <cell r="B83" t="str">
            <v>Hit.T1</v>
          </cell>
          <cell r="C83" t="str">
            <v>Membuat 1 unit Teralis T1</v>
          </cell>
          <cell r="D83">
            <v>9715065.9578827452</v>
          </cell>
        </row>
        <row r="84">
          <cell r="B84" t="str">
            <v>Hit.T2</v>
          </cell>
          <cell r="C84" t="str">
            <v>Membuat 1 unit Teralis T2</v>
          </cell>
          <cell r="D84">
            <v>14521908.258897185</v>
          </cell>
        </row>
        <row r="85">
          <cell r="B85" t="str">
            <v>Hit.T3</v>
          </cell>
          <cell r="C85" t="str">
            <v>Membuat 1 unit Teralis T3</v>
          </cell>
          <cell r="D85">
            <v>17716630.446101129</v>
          </cell>
        </row>
        <row r="86">
          <cell r="B86" t="str">
            <v>Hit.T4</v>
          </cell>
          <cell r="C86" t="str">
            <v>Membuat 1 unit Teralis T4</v>
          </cell>
          <cell r="D86">
            <v>20163629.213786241</v>
          </cell>
        </row>
        <row r="87">
          <cell r="B87" t="str">
            <v>Hit.T5</v>
          </cell>
          <cell r="C87" t="str">
            <v>Membuat 1 unit Teralis T5</v>
          </cell>
          <cell r="D87">
            <v>22352155.162884366</v>
          </cell>
        </row>
        <row r="88">
          <cell r="B88" t="str">
            <v>Hit.T6</v>
          </cell>
          <cell r="C88" t="str">
            <v>Membuat 1 unit Teralis T6</v>
          </cell>
          <cell r="D88">
            <v>9479510.1178608872</v>
          </cell>
        </row>
        <row r="89">
          <cell r="B89" t="str">
            <v>Hit.T7</v>
          </cell>
          <cell r="C89" t="str">
            <v>Membuat 1 unit Teralis T7</v>
          </cell>
          <cell r="D89">
            <v>16029051.585502733</v>
          </cell>
        </row>
        <row r="90">
          <cell r="B90" t="str">
            <v>Hit.T8</v>
          </cell>
          <cell r="C90" t="str">
            <v>Membuat 1 unit Teralis T8</v>
          </cell>
          <cell r="D90">
            <v>145075651.43544614</v>
          </cell>
        </row>
        <row r="91">
          <cell r="B91" t="str">
            <v>Hit.T9</v>
          </cell>
          <cell r="C91" t="str">
            <v>Membuat 1 unit Teralis T9</v>
          </cell>
          <cell r="D91">
            <v>176848725.82754737</v>
          </cell>
        </row>
        <row r="92">
          <cell r="B92" t="str">
            <v>Hit.J1</v>
          </cell>
          <cell r="C92" t="str">
            <v>Membuat 1 unit Jendela J1</v>
          </cell>
          <cell r="D92">
            <v>2582533.3598093684</v>
          </cell>
        </row>
        <row r="93">
          <cell r="B93" t="str">
            <v>Hit.V1</v>
          </cell>
          <cell r="C93" t="str">
            <v>Membuat 1 unit Ventilasi V1</v>
          </cell>
          <cell r="D93">
            <v>4373718.778514524</v>
          </cell>
        </row>
        <row r="94">
          <cell r="B94" t="str">
            <v>Hit.V2</v>
          </cell>
          <cell r="C94" t="str">
            <v>Membuat 1 unit Ventilasi V2</v>
          </cell>
          <cell r="D94">
            <v>1597023.6517896706</v>
          </cell>
        </row>
        <row r="95">
          <cell r="B95" t="str">
            <v>Hit.V3</v>
          </cell>
          <cell r="C95" t="str">
            <v>Membuat 1 unit Ventilasi V3</v>
          </cell>
          <cell r="D95">
            <v>2932276.0031817369</v>
          </cell>
        </row>
        <row r="96">
          <cell r="B96" t="str">
            <v>Septic.1</v>
          </cell>
          <cell r="C96" t="str">
            <v>Pembuatan Septictank Bio filter</v>
          </cell>
          <cell r="D96">
            <v>98000000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kap 2"/>
      <sheetName val="RAB 1"/>
      <sheetName val="RAB.DRYER"/>
      <sheetName val="RAB SEKAM"/>
      <sheetName val="RAB MB"/>
      <sheetName val="RAB PAGAR"/>
      <sheetName val="RAB POS"/>
      <sheetName val="RAB SARANA"/>
      <sheetName val="REKAP ANL"/>
      <sheetName val="ANALISA"/>
      <sheetName val="UPAH-BAHAN"/>
      <sheetName val="V.DRYER"/>
      <sheetName val="V.SEKAM"/>
      <sheetName val="V. MB"/>
      <sheetName val="V.PGR"/>
      <sheetName val="V.POS"/>
      <sheetName val="V.SAR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REKAP ANALISA HARGA SATUAN PEKERJAN</v>
          </cell>
          <cell r="C1">
            <v>0</v>
          </cell>
          <cell r="D1">
            <v>0</v>
          </cell>
        </row>
        <row r="2">
          <cell r="B2">
            <v>0</v>
          </cell>
          <cell r="C2">
            <v>0</v>
          </cell>
          <cell r="D2">
            <v>0</v>
          </cell>
        </row>
        <row r="3">
          <cell r="B3" t="str">
            <v>ANALISA</v>
          </cell>
          <cell r="C3" t="str">
            <v>PEKERJAAN</v>
          </cell>
          <cell r="D3" t="str">
            <v>HARGA SATUAN</v>
          </cell>
        </row>
        <row r="4">
          <cell r="B4">
            <v>0</v>
          </cell>
          <cell r="C4">
            <v>0</v>
          </cell>
          <cell r="D4">
            <v>0</v>
          </cell>
        </row>
        <row r="5">
          <cell r="B5" t="str">
            <v>A. 2.3.1.1. A</v>
          </cell>
          <cell r="C5" t="str">
            <v>1M' Pengukuran dan Pemasangan Bowplank</v>
          </cell>
          <cell r="D5">
            <v>119625.3</v>
          </cell>
          <cell r="F5" t="str">
            <v>ADA</v>
          </cell>
        </row>
        <row r="6">
          <cell r="B6" t="str">
            <v>A.2.3.1.1.</v>
          </cell>
          <cell r="C6" t="str">
            <v>Penggalian 1 m3  tanah biasa sedalam 1 m</v>
          </cell>
          <cell r="D6">
            <v>81362.5</v>
          </cell>
          <cell r="F6" t="str">
            <v>ADA</v>
          </cell>
        </row>
        <row r="7">
          <cell r="B7" t="str">
            <v>A.2.3.1.9.</v>
          </cell>
          <cell r="C7" t="str">
            <v>Pengurugan kembali 1 m3 galian tanah</v>
          </cell>
          <cell r="D7">
            <v>59225</v>
          </cell>
          <cell r="F7" t="str">
            <v>ADA</v>
          </cell>
        </row>
        <row r="8">
          <cell r="B8" t="str">
            <v>A.2.3.1.10.</v>
          </cell>
          <cell r="C8" t="str">
            <v>Pengurugan 1 m3 dengan Tanah urug</v>
          </cell>
          <cell r="D8">
            <v>205677.5</v>
          </cell>
          <cell r="F8" t="str">
            <v>ADA</v>
          </cell>
        </row>
        <row r="9">
          <cell r="B9" t="str">
            <v>A.2.3.1.11.</v>
          </cell>
          <cell r="C9" t="str">
            <v>Pengurugan 1 m3 dengan pasir urug</v>
          </cell>
          <cell r="D9">
            <v>221329</v>
          </cell>
          <cell r="F9" t="str">
            <v>ADA</v>
          </cell>
        </row>
        <row r="10">
          <cell r="B10" t="str">
            <v>A.4.1.1.17.</v>
          </cell>
          <cell r="C10" t="str">
            <v xml:space="preserve">Pembesian 1 kg dengan besi polos Pembesian untuk 10 kg dengan besi polos </v>
          </cell>
          <cell r="D10">
            <v>16835.5952</v>
          </cell>
          <cell r="F10" t="str">
            <v>ADA</v>
          </cell>
        </row>
        <row r="11">
          <cell r="B11" t="str">
            <v>A.4.1.1.21.</v>
          </cell>
          <cell r="C11" t="str">
            <v>Pemasangan 1 m2   bekisting untuk sloof / kolom praktis</v>
          </cell>
          <cell r="D11">
            <v>235226.75</v>
          </cell>
          <cell r="F11" t="str">
            <v>ADA</v>
          </cell>
        </row>
        <row r="12">
          <cell r="B12" t="str">
            <v>A.4.1.1.22.A</v>
          </cell>
          <cell r="C12" t="str">
            <v>Pemasangan 1 m2   bekisting untuk  kolom 2 X Pakai</v>
          </cell>
          <cell r="D12">
            <v>347994.6</v>
          </cell>
          <cell r="F12" t="str">
            <v>ADA</v>
          </cell>
        </row>
        <row r="13">
          <cell r="B13" t="str">
            <v>A.3.2.1.1.</v>
          </cell>
          <cell r="C13" t="str">
            <v>Pemasangan 1 m3 pondasi batu kali campuran 1SP : 3PP</v>
          </cell>
          <cell r="D13">
            <v>1366575.6109090908</v>
          </cell>
          <cell r="F13" t="str">
            <v>ADA</v>
          </cell>
        </row>
        <row r="14">
          <cell r="B14" t="str">
            <v>A.4.1.1.5.</v>
          </cell>
          <cell r="C14" t="str">
            <v>Membuat 1 m3 beton mutu K175</v>
          </cell>
          <cell r="D14">
            <v>1368173.4061497326</v>
          </cell>
          <cell r="F14" t="str">
            <v>ADA</v>
          </cell>
        </row>
        <row r="15">
          <cell r="B15" t="str">
            <v>A.4.1.1.8.</v>
          </cell>
          <cell r="C15" t="str">
            <v>Membuat 1 m3 beton mutu f’c = 21,7 Mpa</v>
          </cell>
          <cell r="D15">
            <v>1461254.6755080214</v>
          </cell>
          <cell r="F15" t="str">
            <v>ADA</v>
          </cell>
        </row>
        <row r="16">
          <cell r="B16" t="str">
            <v>A.4.2.1.1.</v>
          </cell>
          <cell r="C16" t="str">
            <v>Pemasangan 1 kg besi profil</v>
          </cell>
          <cell r="D16">
            <v>32533.5</v>
          </cell>
          <cell r="F16" t="str">
            <v>ADA</v>
          </cell>
        </row>
        <row r="17">
          <cell r="B17" t="str">
            <v>A.4.2.1.19.</v>
          </cell>
          <cell r="C17" t="str">
            <v>Pemasangan 10 kg jaring kawat baja (wiremesh)</v>
          </cell>
          <cell r="D17">
            <v>15010.0484</v>
          </cell>
          <cell r="F17" t="str">
            <v>ADA</v>
          </cell>
        </row>
        <row r="18">
          <cell r="B18" t="str">
            <v>A.4.2.1.2.</v>
          </cell>
          <cell r="C18" t="str">
            <v>Pemasangan 1 kg rangka kuda-kuda baja IWF</v>
          </cell>
          <cell r="D18">
            <v>31153.5</v>
          </cell>
          <cell r="F18" t="str">
            <v>ADA</v>
          </cell>
        </row>
        <row r="19">
          <cell r="B19" t="str">
            <v>A.4.2.1.20.</v>
          </cell>
          <cell r="C19" t="str">
            <v>Pemasangan 1 m2rangka besi hollow 1x40.40.2mm, modul 60 x 120</v>
          </cell>
          <cell r="D19">
            <v>214820</v>
          </cell>
          <cell r="F19" t="str">
            <v>ADA</v>
          </cell>
        </row>
        <row r="20">
          <cell r="B20" t="str">
            <v>A.4.2.1.3.</v>
          </cell>
          <cell r="C20" t="str">
            <v>Pengerjaan 100 kg pekerjaan perakitan</v>
          </cell>
          <cell r="D20">
            <v>5354.4</v>
          </cell>
          <cell r="F20" t="str">
            <v>ADA</v>
          </cell>
        </row>
        <row r="21">
          <cell r="B21" t="str">
            <v>A.4.2.1.4.</v>
          </cell>
          <cell r="C21" t="str">
            <v>Pembuatan 1 m2 pintu besi pelat baja tebal 2 mm rangkap, rangka baja siku</v>
          </cell>
          <cell r="D21">
            <v>952970.5</v>
          </cell>
          <cell r="F21" t="str">
            <v>ADA</v>
          </cell>
        </row>
        <row r="22">
          <cell r="B22" t="str">
            <v>A.4.4.1.9</v>
          </cell>
          <cell r="C22" t="str">
            <v>Pemasangan 1m2 dinding bata merah (5x11x22) cm tebal ½ batucampuran 1SP :4PP</v>
          </cell>
          <cell r="D22">
            <v>144845.39486363635</v>
          </cell>
          <cell r="F22" t="str">
            <v>ADA</v>
          </cell>
        </row>
        <row r="23">
          <cell r="B23" t="str">
            <v>A.4.4.2.27.</v>
          </cell>
          <cell r="C23" t="str">
            <v>Pemasangan 1 m2 acian.</v>
          </cell>
          <cell r="D23">
            <v>45186.205113636359</v>
          </cell>
          <cell r="F23" t="str">
            <v>ADA</v>
          </cell>
        </row>
        <row r="24">
          <cell r="B24" t="str">
            <v>A.4.4.2.4.</v>
          </cell>
          <cell r="C24" t="str">
            <v>Pemasangan 1 m2 plesteran 1SP : 4PP tebal 15 mm</v>
          </cell>
          <cell r="D24">
            <v>81259.04181818181</v>
          </cell>
          <cell r="F24" t="str">
            <v>ADA</v>
          </cell>
        </row>
        <row r="25">
          <cell r="B25" t="str">
            <v>A.4.5.2.40.</v>
          </cell>
          <cell r="C25" t="str">
            <v>Pemasangan 1 m2 atap zyncalum #0,35</v>
          </cell>
          <cell r="D25">
            <v>130981.50400000002</v>
          </cell>
          <cell r="F25" t="str">
            <v>ADA</v>
          </cell>
        </row>
        <row r="26">
          <cell r="B26" t="str">
            <v>A.4.5.2.41.</v>
          </cell>
          <cell r="C26" t="str">
            <v>Pemasangan 1 m' Nok zyncalum #0,35</v>
          </cell>
          <cell r="D26">
            <v>95291.963166666654</v>
          </cell>
          <cell r="F26" t="str">
            <v>ADA</v>
          </cell>
        </row>
        <row r="27">
          <cell r="B27" t="str">
            <v>A.4.7.1.10.</v>
          </cell>
          <cell r="C27" t="str">
            <v>Pengecatan 1 m2 tembok baru (1 lapis plamuur, 1 lapis cat dasar, 2lapis cat penutup)</v>
          </cell>
          <cell r="D27">
            <v>31446.736583333335</v>
          </cell>
          <cell r="F27" t="str">
            <v>ADA</v>
          </cell>
        </row>
        <row r="28">
          <cell r="B28" t="str">
            <v>A.4.7.1.16.</v>
          </cell>
          <cell r="C28" t="str">
            <v>Pengecatan 1 m2 permukaan baja dengan menie besi</v>
          </cell>
          <cell r="D28">
            <v>43038.75</v>
          </cell>
          <cell r="F28" t="str">
            <v>ADA</v>
          </cell>
        </row>
        <row r="29">
          <cell r="B29" t="str">
            <v>A.5.1.1 32.</v>
          </cell>
          <cell r="C29" t="str">
            <v>Pemasangan 1 m’ pipa PVC tipe AW diameter 4”</v>
          </cell>
          <cell r="D29">
            <v>127854.7</v>
          </cell>
          <cell r="F29" t="str">
            <v>ADA</v>
          </cell>
        </row>
        <row r="30">
          <cell r="B30" t="str">
            <v>A.A.4.1.1.4</v>
          </cell>
          <cell r="C30" t="str">
            <v>Membuat 1 m3 lantai kerja beton mutu f’c = 7,4 MPa slump (3-6)cm, w/c = 0,87</v>
          </cell>
          <cell r="D30">
            <v>1159535.4260962566</v>
          </cell>
          <cell r="F30" t="str">
            <v>ADA</v>
          </cell>
        </row>
        <row r="31">
          <cell r="B31" t="str">
            <v>Dihitung.1</v>
          </cell>
          <cell r="C31" t="str">
            <v>Pemasangan 1 titik Tiang Pancang petak 25x25 cm panjang 6 meter</v>
          </cell>
          <cell r="D31">
            <v>1778935</v>
          </cell>
          <cell r="F31" t="str">
            <v>ADA</v>
          </cell>
        </row>
        <row r="32">
          <cell r="B32" t="str">
            <v>A.5.1.1 32.</v>
          </cell>
          <cell r="C32" t="str">
            <v>Pemasangan 1 m’ pipa PVC tipe AW diameter 4”</v>
          </cell>
          <cell r="D32">
            <v>127854.7</v>
          </cell>
          <cell r="F32" t="str">
            <v>ADA</v>
          </cell>
        </row>
        <row r="33">
          <cell r="B33" t="str">
            <v>A.5.1.1 25.</v>
          </cell>
          <cell r="C33" t="str">
            <v>Pemasangan 1 m’ pipa PVC tipe AW diameter ½ ”</v>
          </cell>
          <cell r="D33">
            <v>58259</v>
          </cell>
          <cell r="F33" t="str">
            <v>ADA</v>
          </cell>
        </row>
        <row r="34">
          <cell r="B34" t="str">
            <v>A.5.1.1 19.</v>
          </cell>
          <cell r="C34" t="str">
            <v>Pemasangan 1 buah kran diameter 1/2" atau 3/4"</v>
          </cell>
          <cell r="D34">
            <v>91626.25</v>
          </cell>
          <cell r="F34" t="str">
            <v>ADA</v>
          </cell>
        </row>
        <row r="35">
          <cell r="B35" t="str">
            <v>A.4.5.1.7.</v>
          </cell>
          <cell r="C35" t="str">
            <v>Pemasangan 1 m2 langit-langit gypsum board ukuran (120x240x9) mm, tebal 9 mm</v>
          </cell>
          <cell r="D35">
            <v>50255</v>
          </cell>
          <cell r="F35" t="str">
            <v>ADA</v>
          </cell>
        </row>
        <row r="36">
          <cell r="B36" t="str">
            <v>A.4.5.1.7.</v>
          </cell>
          <cell r="C36" t="str">
            <v>Pemasangan 1 m2 langit-langit gypsum board ukuran (120x240x9) mm, tebal 9 mm</v>
          </cell>
          <cell r="D36">
            <v>50255</v>
          </cell>
          <cell r="F36" t="str">
            <v>ADA</v>
          </cell>
        </row>
        <row r="37">
          <cell r="B37" t="str">
            <v>A.4.4.3.35.A</v>
          </cell>
          <cell r="C37" t="str">
            <v>Pemasangan 1m2 lantai keramik ukuran 40cm x 40cm</v>
          </cell>
          <cell r="D37">
            <v>259442.46727272726</v>
          </cell>
          <cell r="F37" t="str">
            <v>ADA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58">
          <cell r="B58" t="str">
            <v>A.4.4.3.54.A</v>
          </cell>
        </row>
        <row r="61">
          <cell r="B61" t="str">
            <v>A.4.4.3.54.A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PS"/>
      <sheetName val="WT"/>
      <sheetName val="MFC"/>
      <sheetName val="ADJ VOL"/>
      <sheetName val="1st"/>
      <sheetName val="2nd"/>
      <sheetName val="3rd"/>
      <sheetName val="4th"/>
      <sheetName val="5th"/>
      <sheetName val="6th"/>
      <sheetName val="SUM1"/>
      <sheetName val="SUM2"/>
      <sheetName val="SUM4"/>
      <sheetName val="SUM3"/>
      <sheetName val="SUM5"/>
      <sheetName val="SUM6"/>
      <sheetName val="TOTAL"/>
      <sheetName val="1-boq"/>
      <sheetName val="대비표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B14" t="str">
            <v>A</v>
          </cell>
        </row>
        <row r="15">
          <cell r="B15" t="str">
            <v>A</v>
          </cell>
        </row>
        <row r="16">
          <cell r="B16" t="str">
            <v>A</v>
          </cell>
        </row>
        <row r="17">
          <cell r="B17" t="str">
            <v>A</v>
          </cell>
        </row>
        <row r="19">
          <cell r="B19" t="str">
            <v>A</v>
          </cell>
        </row>
        <row r="20">
          <cell r="B20" t="str">
            <v>A</v>
          </cell>
        </row>
        <row r="21">
          <cell r="B21" t="str">
            <v>A</v>
          </cell>
        </row>
        <row r="25">
          <cell r="B25" t="str">
            <v>B</v>
          </cell>
          <cell r="AU25">
            <v>0</v>
          </cell>
        </row>
        <row r="27">
          <cell r="B27" t="str">
            <v>B</v>
          </cell>
          <cell r="AU27">
            <v>0</v>
          </cell>
        </row>
        <row r="28">
          <cell r="B28" t="str">
            <v>B</v>
          </cell>
          <cell r="AU28">
            <v>0</v>
          </cell>
        </row>
        <row r="29">
          <cell r="B29" t="str">
            <v>B</v>
          </cell>
        </row>
        <row r="30">
          <cell r="B30" t="str">
            <v>B</v>
          </cell>
          <cell r="AU30">
            <v>0</v>
          </cell>
        </row>
        <row r="31">
          <cell r="B31" t="str">
            <v>B</v>
          </cell>
        </row>
        <row r="32">
          <cell r="B32" t="str">
            <v>B</v>
          </cell>
          <cell r="AU32">
            <v>0</v>
          </cell>
        </row>
        <row r="33">
          <cell r="B33" t="str">
            <v>B</v>
          </cell>
          <cell r="AU33">
            <v>0</v>
          </cell>
        </row>
        <row r="34">
          <cell r="B34" t="str">
            <v>B</v>
          </cell>
        </row>
        <row r="35">
          <cell r="B35" t="str">
            <v>B</v>
          </cell>
        </row>
        <row r="36">
          <cell r="B36" t="str">
            <v>B</v>
          </cell>
          <cell r="AU36">
            <v>0</v>
          </cell>
        </row>
        <row r="37">
          <cell r="B37" t="str">
            <v>B</v>
          </cell>
        </row>
        <row r="38">
          <cell r="B38" t="str">
            <v>B</v>
          </cell>
        </row>
        <row r="39">
          <cell r="B39" t="str">
            <v>B</v>
          </cell>
        </row>
        <row r="40">
          <cell r="B40" t="str">
            <v>B</v>
          </cell>
        </row>
        <row r="42">
          <cell r="B42" t="str">
            <v>B</v>
          </cell>
          <cell r="AU42">
            <v>0</v>
          </cell>
        </row>
        <row r="43">
          <cell r="B43" t="str">
            <v>B</v>
          </cell>
        </row>
        <row r="44">
          <cell r="B44" t="str">
            <v>B</v>
          </cell>
          <cell r="AU44">
            <v>0</v>
          </cell>
        </row>
        <row r="46">
          <cell r="B46" t="str">
            <v>B</v>
          </cell>
          <cell r="AU46">
            <v>0</v>
          </cell>
        </row>
        <row r="47">
          <cell r="B47" t="str">
            <v>B</v>
          </cell>
          <cell r="AU47">
            <v>0</v>
          </cell>
        </row>
        <row r="48">
          <cell r="B48" t="str">
            <v>B</v>
          </cell>
        </row>
        <row r="52">
          <cell r="B52" t="str">
            <v>B</v>
          </cell>
          <cell r="AU52">
            <v>0</v>
          </cell>
        </row>
        <row r="56">
          <cell r="B56" t="str">
            <v>C</v>
          </cell>
          <cell r="AU56">
            <v>0</v>
          </cell>
        </row>
        <row r="58">
          <cell r="B58" t="str">
            <v>C</v>
          </cell>
          <cell r="AU58">
            <v>0</v>
          </cell>
        </row>
        <row r="60">
          <cell r="B60" t="str">
            <v>C</v>
          </cell>
          <cell r="AU60">
            <v>0</v>
          </cell>
        </row>
        <row r="61">
          <cell r="B61" t="str">
            <v>C</v>
          </cell>
          <cell r="AU61">
            <v>0</v>
          </cell>
        </row>
        <row r="62">
          <cell r="B62" t="str">
            <v>C</v>
          </cell>
          <cell r="AU62">
            <v>0</v>
          </cell>
        </row>
        <row r="63">
          <cell r="B63" t="str">
            <v>C</v>
          </cell>
          <cell r="AU63">
            <v>0</v>
          </cell>
        </row>
        <row r="64">
          <cell r="B64" t="str">
            <v>C</v>
          </cell>
          <cell r="AU64">
            <v>0</v>
          </cell>
        </row>
        <row r="65">
          <cell r="B65" t="str">
            <v>C</v>
          </cell>
          <cell r="AU65">
            <v>0</v>
          </cell>
        </row>
        <row r="66">
          <cell r="B66" t="str">
            <v>C</v>
          </cell>
          <cell r="AU66">
            <v>0</v>
          </cell>
        </row>
        <row r="67">
          <cell r="B67" t="str">
            <v>C</v>
          </cell>
          <cell r="AU67">
            <v>0</v>
          </cell>
        </row>
        <row r="68">
          <cell r="B68" t="str">
            <v>C</v>
          </cell>
          <cell r="AU68">
            <v>0</v>
          </cell>
        </row>
        <row r="69">
          <cell r="B69" t="str">
            <v>C</v>
          </cell>
          <cell r="AU69">
            <v>0</v>
          </cell>
        </row>
        <row r="70">
          <cell r="B70" t="str">
            <v>C</v>
          </cell>
          <cell r="AU70">
            <v>0</v>
          </cell>
        </row>
        <row r="71">
          <cell r="B71" t="str">
            <v>C</v>
          </cell>
        </row>
        <row r="72">
          <cell r="B72" t="str">
            <v>C</v>
          </cell>
          <cell r="AU72">
            <v>0</v>
          </cell>
        </row>
        <row r="74">
          <cell r="B74" t="str">
            <v>C</v>
          </cell>
          <cell r="AU74">
            <v>0</v>
          </cell>
        </row>
        <row r="75">
          <cell r="B75" t="str">
            <v>C</v>
          </cell>
          <cell r="AU75">
            <v>0</v>
          </cell>
        </row>
        <row r="76">
          <cell r="B76" t="str">
            <v>C</v>
          </cell>
        </row>
        <row r="78">
          <cell r="B78" t="str">
            <v>C</v>
          </cell>
          <cell r="AU78">
            <v>0</v>
          </cell>
        </row>
        <row r="79">
          <cell r="B79" t="str">
            <v>C</v>
          </cell>
          <cell r="AU79">
            <v>0</v>
          </cell>
        </row>
        <row r="80">
          <cell r="B80" t="str">
            <v>C</v>
          </cell>
        </row>
        <row r="81">
          <cell r="B81" t="str">
            <v>C</v>
          </cell>
          <cell r="AU81">
            <v>0</v>
          </cell>
        </row>
        <row r="82">
          <cell r="B82" t="str">
            <v>C</v>
          </cell>
          <cell r="AU82">
            <v>0</v>
          </cell>
        </row>
        <row r="83">
          <cell r="B83" t="str">
            <v>C</v>
          </cell>
          <cell r="AU83">
            <v>0</v>
          </cell>
        </row>
        <row r="89">
          <cell r="B89" t="str">
            <v>D</v>
          </cell>
          <cell r="AU89">
            <v>0</v>
          </cell>
        </row>
        <row r="90">
          <cell r="B90" t="str">
            <v>D</v>
          </cell>
          <cell r="AU90">
            <v>0</v>
          </cell>
        </row>
        <row r="92">
          <cell r="B92" t="str">
            <v>D</v>
          </cell>
          <cell r="AU92">
            <v>0</v>
          </cell>
        </row>
        <row r="93">
          <cell r="B93" t="str">
            <v>D</v>
          </cell>
          <cell r="AU93">
            <v>0</v>
          </cell>
        </row>
        <row r="94">
          <cell r="B94" t="str">
            <v>D</v>
          </cell>
          <cell r="AU94">
            <v>0</v>
          </cell>
        </row>
        <row r="95">
          <cell r="B95" t="str">
            <v>D</v>
          </cell>
          <cell r="AU95">
            <v>0</v>
          </cell>
        </row>
        <row r="96">
          <cell r="B96" t="str">
            <v>D</v>
          </cell>
          <cell r="AU96">
            <v>0</v>
          </cell>
        </row>
        <row r="97">
          <cell r="B97" t="str">
            <v>D</v>
          </cell>
          <cell r="AU97">
            <v>0</v>
          </cell>
        </row>
        <row r="98">
          <cell r="B98" t="str">
            <v>D</v>
          </cell>
          <cell r="AU98">
            <v>0</v>
          </cell>
        </row>
        <row r="99">
          <cell r="B99" t="str">
            <v>D</v>
          </cell>
          <cell r="AU99">
            <v>0</v>
          </cell>
        </row>
        <row r="100">
          <cell r="B100" t="str">
            <v>D</v>
          </cell>
          <cell r="AU100">
            <v>0</v>
          </cell>
        </row>
        <row r="101">
          <cell r="B101" t="str">
            <v>D</v>
          </cell>
        </row>
        <row r="104">
          <cell r="B104" t="str">
            <v>D</v>
          </cell>
          <cell r="AU104">
            <v>0</v>
          </cell>
        </row>
        <row r="105">
          <cell r="B105" t="str">
            <v>D</v>
          </cell>
          <cell r="AU105">
            <v>0</v>
          </cell>
        </row>
        <row r="106">
          <cell r="B106" t="str">
            <v>D</v>
          </cell>
          <cell r="AU106">
            <v>0</v>
          </cell>
        </row>
        <row r="107">
          <cell r="B107" t="str">
            <v>D</v>
          </cell>
          <cell r="AU107">
            <v>0</v>
          </cell>
        </row>
        <row r="108">
          <cell r="B108" t="str">
            <v>D</v>
          </cell>
          <cell r="AU108">
            <v>0</v>
          </cell>
        </row>
        <row r="109">
          <cell r="B109" t="str">
            <v>D</v>
          </cell>
          <cell r="AU109">
            <v>0</v>
          </cell>
        </row>
        <row r="110">
          <cell r="B110" t="str">
            <v>D</v>
          </cell>
          <cell r="AU110">
            <v>0</v>
          </cell>
        </row>
        <row r="111">
          <cell r="B111" t="str">
            <v>D</v>
          </cell>
          <cell r="AU111">
            <v>0</v>
          </cell>
        </row>
        <row r="112">
          <cell r="B112" t="str">
            <v>D</v>
          </cell>
          <cell r="AU112">
            <v>0</v>
          </cell>
        </row>
        <row r="113">
          <cell r="B113" t="str">
            <v>D</v>
          </cell>
          <cell r="AU113">
            <v>0</v>
          </cell>
        </row>
        <row r="114">
          <cell r="B114" t="str">
            <v>D</v>
          </cell>
          <cell r="AU114">
            <v>0</v>
          </cell>
        </row>
        <row r="115">
          <cell r="B115" t="str">
            <v>D</v>
          </cell>
          <cell r="AU115">
            <v>0</v>
          </cell>
        </row>
        <row r="116">
          <cell r="B116" t="str">
            <v>D</v>
          </cell>
        </row>
        <row r="117">
          <cell r="B117" t="str">
            <v>D</v>
          </cell>
          <cell r="AU117">
            <v>0</v>
          </cell>
        </row>
        <row r="118">
          <cell r="B118" t="str">
            <v>D</v>
          </cell>
        </row>
        <row r="119">
          <cell r="B119" t="str">
            <v>D</v>
          </cell>
          <cell r="AU119">
            <v>0</v>
          </cell>
        </row>
        <row r="121">
          <cell r="B121" t="str">
            <v>D</v>
          </cell>
          <cell r="AU121">
            <v>0</v>
          </cell>
        </row>
        <row r="122">
          <cell r="B122" t="str">
            <v>D</v>
          </cell>
          <cell r="AU122">
            <v>0</v>
          </cell>
        </row>
        <row r="123">
          <cell r="B123" t="str">
            <v>D</v>
          </cell>
          <cell r="AU123">
            <v>0</v>
          </cell>
        </row>
        <row r="124">
          <cell r="B124" t="str">
            <v>D</v>
          </cell>
          <cell r="AU124">
            <v>0</v>
          </cell>
        </row>
        <row r="125">
          <cell r="B125" t="str">
            <v>D</v>
          </cell>
          <cell r="AU125">
            <v>0</v>
          </cell>
        </row>
        <row r="126">
          <cell r="B126" t="str">
            <v>D</v>
          </cell>
          <cell r="AU126">
            <v>0</v>
          </cell>
        </row>
        <row r="130">
          <cell r="B130" t="str">
            <v>E</v>
          </cell>
          <cell r="AU130">
            <v>0</v>
          </cell>
        </row>
        <row r="131">
          <cell r="B131" t="str">
            <v>E</v>
          </cell>
          <cell r="AU131">
            <v>0</v>
          </cell>
        </row>
        <row r="133">
          <cell r="B133" t="str">
            <v>E</v>
          </cell>
          <cell r="AU133">
            <v>0</v>
          </cell>
        </row>
        <row r="134">
          <cell r="B134" t="str">
            <v>E</v>
          </cell>
          <cell r="AU134">
            <v>0</v>
          </cell>
        </row>
        <row r="135">
          <cell r="B135" t="str">
            <v>E</v>
          </cell>
          <cell r="AU135">
            <v>0</v>
          </cell>
        </row>
        <row r="136">
          <cell r="B136" t="str">
            <v>E</v>
          </cell>
          <cell r="AU136">
            <v>0</v>
          </cell>
        </row>
        <row r="137">
          <cell r="B137" t="str">
            <v>E</v>
          </cell>
          <cell r="AU137">
            <v>0</v>
          </cell>
        </row>
        <row r="138">
          <cell r="B138" t="str">
            <v>E</v>
          </cell>
          <cell r="AU138">
            <v>0</v>
          </cell>
        </row>
        <row r="139">
          <cell r="B139" t="str">
            <v>E</v>
          </cell>
          <cell r="AU139">
            <v>0</v>
          </cell>
        </row>
        <row r="140">
          <cell r="B140" t="str">
            <v>E</v>
          </cell>
          <cell r="AU140">
            <v>0</v>
          </cell>
        </row>
        <row r="141">
          <cell r="B141" t="str">
            <v>E</v>
          </cell>
          <cell r="AU141">
            <v>0</v>
          </cell>
        </row>
        <row r="142">
          <cell r="B142" t="str">
            <v>E</v>
          </cell>
        </row>
        <row r="143">
          <cell r="B143" t="str">
            <v>E</v>
          </cell>
          <cell r="AU143">
            <v>0</v>
          </cell>
        </row>
        <row r="144">
          <cell r="B144" t="str">
            <v>E</v>
          </cell>
          <cell r="AU144">
            <v>0</v>
          </cell>
        </row>
        <row r="145">
          <cell r="B145" t="str">
            <v>E</v>
          </cell>
          <cell r="AU145">
            <v>0</v>
          </cell>
        </row>
        <row r="146">
          <cell r="B146" t="str">
            <v>E</v>
          </cell>
          <cell r="AU146">
            <v>0</v>
          </cell>
        </row>
        <row r="147">
          <cell r="B147" t="str">
            <v>E</v>
          </cell>
          <cell r="AU147">
            <v>0</v>
          </cell>
        </row>
        <row r="148">
          <cell r="B148" t="str">
            <v>E</v>
          </cell>
          <cell r="AU148">
            <v>0</v>
          </cell>
        </row>
        <row r="149">
          <cell r="B149" t="str">
            <v>E</v>
          </cell>
          <cell r="AU149">
            <v>0</v>
          </cell>
        </row>
        <row r="150">
          <cell r="B150" t="str">
            <v>E</v>
          </cell>
          <cell r="AU150">
            <v>0</v>
          </cell>
        </row>
        <row r="152">
          <cell r="B152" t="str">
            <v>E</v>
          </cell>
          <cell r="AU152">
            <v>0</v>
          </cell>
        </row>
        <row r="153">
          <cell r="B153" t="str">
            <v>E</v>
          </cell>
          <cell r="AU153">
            <v>0</v>
          </cell>
        </row>
        <row r="154">
          <cell r="B154" t="str">
            <v>E</v>
          </cell>
          <cell r="AU154">
            <v>0</v>
          </cell>
        </row>
        <row r="155">
          <cell r="B155" t="str">
            <v>E</v>
          </cell>
          <cell r="AU155">
            <v>0</v>
          </cell>
        </row>
        <row r="156">
          <cell r="B156" t="str">
            <v>E</v>
          </cell>
          <cell r="AU156">
            <v>0</v>
          </cell>
        </row>
        <row r="157">
          <cell r="B157" t="str">
            <v>E</v>
          </cell>
          <cell r="AU157">
            <v>0</v>
          </cell>
        </row>
        <row r="158">
          <cell r="B158" t="str">
            <v>E</v>
          </cell>
          <cell r="AU158">
            <v>0</v>
          </cell>
        </row>
        <row r="159">
          <cell r="B159" t="str">
            <v>E</v>
          </cell>
          <cell r="AU159">
            <v>0</v>
          </cell>
        </row>
        <row r="160">
          <cell r="B160" t="str">
            <v>E</v>
          </cell>
          <cell r="AU160">
            <v>0</v>
          </cell>
        </row>
        <row r="161">
          <cell r="B161" t="str">
            <v>E</v>
          </cell>
          <cell r="AU161">
            <v>0</v>
          </cell>
        </row>
        <row r="162">
          <cell r="B162" t="str">
            <v>E</v>
          </cell>
          <cell r="AU162">
            <v>0</v>
          </cell>
        </row>
        <row r="163">
          <cell r="B163" t="str">
            <v>E</v>
          </cell>
          <cell r="AU163">
            <v>0</v>
          </cell>
        </row>
        <row r="164">
          <cell r="B164" t="str">
            <v>E</v>
          </cell>
          <cell r="AU164">
            <v>0</v>
          </cell>
        </row>
        <row r="165">
          <cell r="B165" t="str">
            <v>E</v>
          </cell>
          <cell r="AU165">
            <v>0</v>
          </cell>
        </row>
        <row r="166">
          <cell r="B166" t="str">
            <v>E</v>
          </cell>
          <cell r="AU166">
            <v>0</v>
          </cell>
        </row>
        <row r="167">
          <cell r="B167" t="str">
            <v>E</v>
          </cell>
          <cell r="AU167">
            <v>0</v>
          </cell>
        </row>
        <row r="168">
          <cell r="B168" t="str">
            <v>E</v>
          </cell>
        </row>
        <row r="169">
          <cell r="B169" t="str">
            <v>E</v>
          </cell>
          <cell r="AU169">
            <v>0</v>
          </cell>
        </row>
        <row r="170">
          <cell r="B170" t="str">
            <v>E</v>
          </cell>
          <cell r="AU170">
            <v>0</v>
          </cell>
        </row>
        <row r="171">
          <cell r="B171" t="str">
            <v>E</v>
          </cell>
          <cell r="AU171">
            <v>0</v>
          </cell>
        </row>
        <row r="176">
          <cell r="B176" t="str">
            <v>E</v>
          </cell>
          <cell r="AU176">
            <v>0</v>
          </cell>
        </row>
        <row r="177">
          <cell r="B177" t="str">
            <v>E</v>
          </cell>
          <cell r="AU177">
            <v>0</v>
          </cell>
        </row>
        <row r="178">
          <cell r="B178" t="str">
            <v>E</v>
          </cell>
          <cell r="AU178">
            <v>0</v>
          </cell>
        </row>
        <row r="179">
          <cell r="B179" t="str">
            <v>E</v>
          </cell>
          <cell r="AU179">
            <v>0</v>
          </cell>
        </row>
        <row r="180">
          <cell r="B180" t="str">
            <v>E</v>
          </cell>
          <cell r="AU180">
            <v>0</v>
          </cell>
        </row>
        <row r="181">
          <cell r="B181" t="str">
            <v>E</v>
          </cell>
          <cell r="AU181">
            <v>0</v>
          </cell>
        </row>
        <row r="182">
          <cell r="B182" t="str">
            <v>E</v>
          </cell>
          <cell r="AU182">
            <v>0</v>
          </cell>
        </row>
        <row r="183">
          <cell r="B183" t="str">
            <v>E</v>
          </cell>
          <cell r="AU183">
            <v>0</v>
          </cell>
        </row>
        <row r="189">
          <cell r="B189" t="str">
            <v>F</v>
          </cell>
          <cell r="AU189">
            <v>0</v>
          </cell>
        </row>
        <row r="190">
          <cell r="B190" t="str">
            <v>F</v>
          </cell>
          <cell r="AU190">
            <v>0</v>
          </cell>
        </row>
        <row r="191">
          <cell r="B191" t="str">
            <v>F</v>
          </cell>
          <cell r="AU191">
            <v>0</v>
          </cell>
        </row>
        <row r="194">
          <cell r="B194" t="str">
            <v>F</v>
          </cell>
          <cell r="AU194">
            <v>0</v>
          </cell>
        </row>
        <row r="195">
          <cell r="B195" t="str">
            <v>F</v>
          </cell>
          <cell r="AU195">
            <v>0</v>
          </cell>
        </row>
        <row r="197">
          <cell r="B197" t="str">
            <v>F</v>
          </cell>
          <cell r="AU197">
            <v>0</v>
          </cell>
        </row>
        <row r="198">
          <cell r="B198" t="str">
            <v>F</v>
          </cell>
          <cell r="AU198">
            <v>0</v>
          </cell>
        </row>
        <row r="199">
          <cell r="B199" t="str">
            <v>F</v>
          </cell>
          <cell r="AU199">
            <v>0</v>
          </cell>
        </row>
        <row r="200">
          <cell r="B200" t="str">
            <v>F</v>
          </cell>
          <cell r="AU200">
            <v>0</v>
          </cell>
        </row>
        <row r="201">
          <cell r="B201" t="str">
            <v>F</v>
          </cell>
          <cell r="AU201">
            <v>0</v>
          </cell>
        </row>
        <row r="202">
          <cell r="B202" t="str">
            <v>F</v>
          </cell>
          <cell r="AU202">
            <v>0</v>
          </cell>
        </row>
        <row r="203">
          <cell r="B203" t="str">
            <v>F</v>
          </cell>
          <cell r="AU203">
            <v>0</v>
          </cell>
        </row>
        <row r="204">
          <cell r="B204" t="str">
            <v>F</v>
          </cell>
        </row>
        <row r="205">
          <cell r="B205" t="str">
            <v>F</v>
          </cell>
          <cell r="AU205">
            <v>0</v>
          </cell>
        </row>
        <row r="207">
          <cell r="B207" t="str">
            <v>F</v>
          </cell>
          <cell r="AU207">
            <v>0</v>
          </cell>
        </row>
        <row r="208">
          <cell r="B208" t="str">
            <v>F</v>
          </cell>
          <cell r="AU208">
            <v>0</v>
          </cell>
        </row>
        <row r="209">
          <cell r="B209" t="str">
            <v>F</v>
          </cell>
          <cell r="AU209">
            <v>0</v>
          </cell>
        </row>
        <row r="210">
          <cell r="B210" t="str">
            <v>F</v>
          </cell>
        </row>
        <row r="211">
          <cell r="B211" t="str">
            <v>F</v>
          </cell>
          <cell r="AU211">
            <v>0</v>
          </cell>
        </row>
        <row r="212">
          <cell r="B212" t="str">
            <v>F</v>
          </cell>
          <cell r="AU212">
            <v>0</v>
          </cell>
        </row>
        <row r="213">
          <cell r="B213" t="str">
            <v>F</v>
          </cell>
        </row>
        <row r="214">
          <cell r="B214" t="str">
            <v>F</v>
          </cell>
          <cell r="AU214">
            <v>0</v>
          </cell>
        </row>
        <row r="218">
          <cell r="B218" t="str">
            <v>F</v>
          </cell>
          <cell r="AU218">
            <v>0</v>
          </cell>
        </row>
        <row r="219">
          <cell r="B219" t="str">
            <v>F</v>
          </cell>
          <cell r="AU219">
            <v>0</v>
          </cell>
        </row>
        <row r="221">
          <cell r="B221" t="str">
            <v>F</v>
          </cell>
          <cell r="AU221">
            <v>0</v>
          </cell>
        </row>
        <row r="222">
          <cell r="B222" t="str">
            <v>F</v>
          </cell>
          <cell r="AU222">
            <v>0</v>
          </cell>
        </row>
        <row r="223">
          <cell r="B223" t="str">
            <v>F</v>
          </cell>
          <cell r="AU223">
            <v>0</v>
          </cell>
        </row>
        <row r="224">
          <cell r="B224" t="str">
            <v>F</v>
          </cell>
          <cell r="AU224">
            <v>0</v>
          </cell>
        </row>
        <row r="225">
          <cell r="B225" t="str">
            <v>F</v>
          </cell>
          <cell r="AU225">
            <v>0</v>
          </cell>
        </row>
        <row r="226">
          <cell r="B226" t="str">
            <v>F</v>
          </cell>
          <cell r="AU226">
            <v>0</v>
          </cell>
        </row>
        <row r="227">
          <cell r="B227" t="str">
            <v>F</v>
          </cell>
          <cell r="AU227">
            <v>0</v>
          </cell>
        </row>
        <row r="228">
          <cell r="B228" t="str">
            <v>F</v>
          </cell>
          <cell r="AU228">
            <v>0</v>
          </cell>
        </row>
        <row r="229">
          <cell r="B229" t="str">
            <v>F</v>
          </cell>
        </row>
        <row r="230">
          <cell r="B230" t="str">
            <v>F</v>
          </cell>
          <cell r="AU230">
            <v>0</v>
          </cell>
        </row>
        <row r="232">
          <cell r="B232" t="str">
            <v>F</v>
          </cell>
          <cell r="AU232">
            <v>0</v>
          </cell>
        </row>
        <row r="233">
          <cell r="B233" t="str">
            <v>F</v>
          </cell>
          <cell r="AU233">
            <v>0</v>
          </cell>
        </row>
        <row r="234">
          <cell r="B234" t="str">
            <v>F</v>
          </cell>
          <cell r="AU234">
            <v>0</v>
          </cell>
        </row>
        <row r="236">
          <cell r="B236" t="str">
            <v>F</v>
          </cell>
          <cell r="AU236">
            <v>0</v>
          </cell>
        </row>
        <row r="237">
          <cell r="B237" t="str">
            <v>F</v>
          </cell>
          <cell r="AU237">
            <v>0</v>
          </cell>
        </row>
        <row r="239">
          <cell r="B239" t="str">
            <v>F</v>
          </cell>
          <cell r="AU239">
            <v>0</v>
          </cell>
        </row>
        <row r="240">
          <cell r="B240" t="str">
            <v>F</v>
          </cell>
          <cell r="AU240">
            <v>0</v>
          </cell>
        </row>
        <row r="241">
          <cell r="B241" t="str">
            <v>F</v>
          </cell>
          <cell r="AU241">
            <v>0</v>
          </cell>
        </row>
        <row r="242">
          <cell r="B242" t="str">
            <v>F</v>
          </cell>
          <cell r="AU242">
            <v>0</v>
          </cell>
        </row>
        <row r="243">
          <cell r="B243" t="str">
            <v>F</v>
          </cell>
          <cell r="AU243">
            <v>0</v>
          </cell>
        </row>
        <row r="244">
          <cell r="B244" t="str">
            <v>F</v>
          </cell>
          <cell r="AU244">
            <v>0</v>
          </cell>
        </row>
        <row r="245">
          <cell r="B245" t="str">
            <v>F</v>
          </cell>
          <cell r="AU245">
            <v>0</v>
          </cell>
        </row>
        <row r="246">
          <cell r="B246" t="str">
            <v>F</v>
          </cell>
          <cell r="AU246">
            <v>0</v>
          </cell>
        </row>
        <row r="247">
          <cell r="B247" t="str">
            <v>F</v>
          </cell>
          <cell r="AU247">
            <v>0</v>
          </cell>
        </row>
        <row r="249">
          <cell r="B249" t="str">
            <v>F</v>
          </cell>
          <cell r="AU249">
            <v>0</v>
          </cell>
        </row>
        <row r="250">
          <cell r="B250" t="str">
            <v>F</v>
          </cell>
          <cell r="AU250">
            <v>0</v>
          </cell>
        </row>
        <row r="251">
          <cell r="B251" t="str">
            <v>F</v>
          </cell>
          <cell r="AU251">
            <v>0</v>
          </cell>
        </row>
        <row r="254">
          <cell r="B254" t="str">
            <v>F</v>
          </cell>
          <cell r="AU254">
            <v>0</v>
          </cell>
        </row>
        <row r="255">
          <cell r="B255" t="str">
            <v>F</v>
          </cell>
          <cell r="AU255">
            <v>0</v>
          </cell>
        </row>
        <row r="256">
          <cell r="B256" t="str">
            <v>F</v>
          </cell>
          <cell r="AU256">
            <v>0</v>
          </cell>
        </row>
        <row r="257">
          <cell r="B257" t="str">
            <v>F</v>
          </cell>
          <cell r="AU257">
            <v>0</v>
          </cell>
        </row>
        <row r="258">
          <cell r="B258" t="str">
            <v>F</v>
          </cell>
          <cell r="AU258">
            <v>0</v>
          </cell>
        </row>
        <row r="259">
          <cell r="B259" t="str">
            <v>F</v>
          </cell>
          <cell r="AU259">
            <v>0</v>
          </cell>
        </row>
        <row r="260">
          <cell r="B260" t="str">
            <v>F</v>
          </cell>
        </row>
        <row r="261">
          <cell r="B261" t="str">
            <v>F</v>
          </cell>
          <cell r="AU261">
            <v>0</v>
          </cell>
        </row>
        <row r="262">
          <cell r="B262" t="str">
            <v>F</v>
          </cell>
        </row>
        <row r="263">
          <cell r="B263" t="str">
            <v>F</v>
          </cell>
        </row>
        <row r="265">
          <cell r="B265" t="str">
            <v>F</v>
          </cell>
          <cell r="AU265">
            <v>0</v>
          </cell>
        </row>
        <row r="271">
          <cell r="B271" t="str">
            <v>H</v>
          </cell>
          <cell r="AU271">
            <v>0</v>
          </cell>
        </row>
        <row r="272">
          <cell r="B272" t="str">
            <v>H</v>
          </cell>
          <cell r="AU272">
            <v>0</v>
          </cell>
        </row>
        <row r="275">
          <cell r="B275" t="str">
            <v>H</v>
          </cell>
          <cell r="AU275">
            <v>0</v>
          </cell>
        </row>
        <row r="276">
          <cell r="B276" t="str">
            <v>H</v>
          </cell>
          <cell r="AU276">
            <v>0</v>
          </cell>
        </row>
        <row r="277">
          <cell r="B277" t="str">
            <v>H</v>
          </cell>
          <cell r="AU277">
            <v>0</v>
          </cell>
        </row>
        <row r="278">
          <cell r="B278" t="str">
            <v>H</v>
          </cell>
          <cell r="AU278">
            <v>0</v>
          </cell>
        </row>
        <row r="279">
          <cell r="B279" t="str">
            <v>H</v>
          </cell>
          <cell r="AU279">
            <v>0</v>
          </cell>
        </row>
        <row r="281">
          <cell r="B281" t="str">
            <v>H</v>
          </cell>
          <cell r="AU281">
            <v>0</v>
          </cell>
        </row>
        <row r="282">
          <cell r="B282" t="str">
            <v>H</v>
          </cell>
          <cell r="AU282">
            <v>0</v>
          </cell>
        </row>
        <row r="283">
          <cell r="B283" t="str">
            <v>H</v>
          </cell>
        </row>
        <row r="284">
          <cell r="B284" t="str">
            <v>H</v>
          </cell>
          <cell r="AU284">
            <v>0</v>
          </cell>
        </row>
        <row r="285">
          <cell r="B285" t="str">
            <v>H</v>
          </cell>
          <cell r="AU285">
            <v>0</v>
          </cell>
        </row>
        <row r="286">
          <cell r="B286" t="str">
            <v>H</v>
          </cell>
          <cell r="AU286">
            <v>0</v>
          </cell>
        </row>
        <row r="287">
          <cell r="B287" t="str">
            <v>H</v>
          </cell>
        </row>
        <row r="288">
          <cell r="B288" t="str">
            <v>H</v>
          </cell>
          <cell r="AU288">
            <v>0</v>
          </cell>
        </row>
        <row r="289">
          <cell r="B289" t="str">
            <v>H</v>
          </cell>
          <cell r="AU289">
            <v>0</v>
          </cell>
        </row>
        <row r="290">
          <cell r="B290" t="str">
            <v>H</v>
          </cell>
        </row>
        <row r="291">
          <cell r="B291" t="str">
            <v>H</v>
          </cell>
        </row>
        <row r="293">
          <cell r="B293" t="str">
            <v>H</v>
          </cell>
          <cell r="AU293">
            <v>0</v>
          </cell>
        </row>
        <row r="294">
          <cell r="B294" t="str">
            <v>H</v>
          </cell>
          <cell r="AU294">
            <v>0</v>
          </cell>
        </row>
        <row r="295">
          <cell r="B295" t="str">
            <v>H</v>
          </cell>
          <cell r="AU295">
            <v>0</v>
          </cell>
        </row>
        <row r="296">
          <cell r="B296" t="str">
            <v>H</v>
          </cell>
          <cell r="AU296">
            <v>0</v>
          </cell>
        </row>
        <row r="297">
          <cell r="B297" t="str">
            <v>H</v>
          </cell>
          <cell r="AU297">
            <v>0</v>
          </cell>
        </row>
        <row r="298">
          <cell r="B298" t="str">
            <v>H</v>
          </cell>
          <cell r="AU298">
            <v>0</v>
          </cell>
        </row>
        <row r="299">
          <cell r="B299" t="str">
            <v>H</v>
          </cell>
        </row>
        <row r="300">
          <cell r="B300" t="str">
            <v>H</v>
          </cell>
        </row>
        <row r="302">
          <cell r="B302" t="str">
            <v>H</v>
          </cell>
        </row>
        <row r="303">
          <cell r="B303" t="str">
            <v>H</v>
          </cell>
        </row>
        <row r="304">
          <cell r="B304" t="str">
            <v>H</v>
          </cell>
          <cell r="AU304">
            <v>0</v>
          </cell>
        </row>
        <row r="305">
          <cell r="B305" t="str">
            <v>H</v>
          </cell>
        </row>
        <row r="306">
          <cell r="B306" t="str">
            <v>H</v>
          </cell>
          <cell r="AU306">
            <v>0</v>
          </cell>
        </row>
        <row r="307">
          <cell r="B307" t="str">
            <v>H</v>
          </cell>
        </row>
        <row r="308">
          <cell r="B308" t="str">
            <v>H</v>
          </cell>
          <cell r="AU308">
            <v>0</v>
          </cell>
        </row>
        <row r="309">
          <cell r="B309" t="str">
            <v>H</v>
          </cell>
          <cell r="AU309">
            <v>0</v>
          </cell>
        </row>
        <row r="310">
          <cell r="B310" t="str">
            <v>H</v>
          </cell>
          <cell r="AU310">
            <v>0</v>
          </cell>
        </row>
        <row r="312">
          <cell r="B312" t="str">
            <v>H</v>
          </cell>
          <cell r="AU312">
            <v>0</v>
          </cell>
        </row>
        <row r="313">
          <cell r="B313" t="str">
            <v>H</v>
          </cell>
          <cell r="AU313">
            <v>0</v>
          </cell>
        </row>
        <row r="314">
          <cell r="B314" t="str">
            <v>H</v>
          </cell>
          <cell r="AU314">
            <v>0</v>
          </cell>
        </row>
        <row r="315">
          <cell r="B315" t="str">
            <v>H</v>
          </cell>
        </row>
        <row r="316">
          <cell r="B316" t="str">
            <v>H</v>
          </cell>
        </row>
        <row r="317">
          <cell r="B317" t="str">
            <v>H</v>
          </cell>
          <cell r="AU317">
            <v>0</v>
          </cell>
        </row>
        <row r="318">
          <cell r="B318" t="str">
            <v>H</v>
          </cell>
        </row>
        <row r="319">
          <cell r="B319" t="str">
            <v>H</v>
          </cell>
          <cell r="AU319">
            <v>0</v>
          </cell>
        </row>
        <row r="320">
          <cell r="B320" t="str">
            <v>H</v>
          </cell>
          <cell r="AU320">
            <v>0</v>
          </cell>
        </row>
        <row r="321">
          <cell r="B321" t="str">
            <v>H</v>
          </cell>
        </row>
        <row r="322">
          <cell r="B322" t="str">
            <v>H</v>
          </cell>
          <cell r="AU322">
            <v>0</v>
          </cell>
        </row>
        <row r="323">
          <cell r="B323" t="str">
            <v>H</v>
          </cell>
          <cell r="AU323">
            <v>0</v>
          </cell>
        </row>
        <row r="324">
          <cell r="B324" t="str">
            <v>H</v>
          </cell>
        </row>
        <row r="325">
          <cell r="B325" t="str">
            <v>H</v>
          </cell>
        </row>
        <row r="327">
          <cell r="B327" t="str">
            <v>H</v>
          </cell>
          <cell r="AU327">
            <v>0</v>
          </cell>
        </row>
        <row r="328">
          <cell r="B328" t="str">
            <v>H</v>
          </cell>
          <cell r="AU328">
            <v>0</v>
          </cell>
        </row>
        <row r="329">
          <cell r="B329" t="str">
            <v>H</v>
          </cell>
          <cell r="AU329">
            <v>0</v>
          </cell>
        </row>
        <row r="330">
          <cell r="B330" t="str">
            <v>H</v>
          </cell>
          <cell r="AU330">
            <v>0</v>
          </cell>
        </row>
        <row r="331">
          <cell r="B331" t="str">
            <v>H</v>
          </cell>
          <cell r="AU331">
            <v>0</v>
          </cell>
        </row>
        <row r="332">
          <cell r="B332" t="str">
            <v>H</v>
          </cell>
          <cell r="AU332">
            <v>0</v>
          </cell>
        </row>
        <row r="333">
          <cell r="B333" t="str">
            <v>H</v>
          </cell>
          <cell r="AU333">
            <v>0</v>
          </cell>
        </row>
        <row r="334">
          <cell r="B334" t="str">
            <v>H</v>
          </cell>
          <cell r="AU334">
            <v>0</v>
          </cell>
        </row>
        <row r="336">
          <cell r="B336" t="str">
            <v>H</v>
          </cell>
          <cell r="AU336">
            <v>0</v>
          </cell>
        </row>
        <row r="337">
          <cell r="B337" t="str">
            <v>H</v>
          </cell>
          <cell r="AU337">
            <v>0</v>
          </cell>
        </row>
        <row r="338">
          <cell r="B338" t="str">
            <v>H</v>
          </cell>
          <cell r="AU338">
            <v>0</v>
          </cell>
        </row>
        <row r="339">
          <cell r="B339" t="str">
            <v>H</v>
          </cell>
          <cell r="AU339">
            <v>0</v>
          </cell>
        </row>
        <row r="340">
          <cell r="B340" t="str">
            <v>H</v>
          </cell>
          <cell r="AU340">
            <v>0</v>
          </cell>
        </row>
        <row r="342">
          <cell r="B342" t="str">
            <v>H</v>
          </cell>
        </row>
        <row r="343">
          <cell r="B343" t="str">
            <v>H</v>
          </cell>
        </row>
        <row r="346">
          <cell r="B346" t="str">
            <v>H</v>
          </cell>
          <cell r="AU346">
            <v>0</v>
          </cell>
        </row>
        <row r="347">
          <cell r="B347" t="str">
            <v>H</v>
          </cell>
          <cell r="AU347">
            <v>0</v>
          </cell>
        </row>
        <row r="348">
          <cell r="B348" t="str">
            <v>H</v>
          </cell>
          <cell r="AU348">
            <v>0</v>
          </cell>
        </row>
        <row r="349">
          <cell r="B349" t="str">
            <v>H</v>
          </cell>
          <cell r="AU349">
            <v>0</v>
          </cell>
        </row>
        <row r="350">
          <cell r="B350" t="str">
            <v>H</v>
          </cell>
          <cell r="AU350">
            <v>0</v>
          </cell>
        </row>
        <row r="352">
          <cell r="B352" t="str">
            <v>H</v>
          </cell>
          <cell r="AU352">
            <v>0</v>
          </cell>
        </row>
        <row r="353">
          <cell r="B353" t="str">
            <v>H</v>
          </cell>
          <cell r="AU353">
            <v>0</v>
          </cell>
        </row>
        <row r="354">
          <cell r="B354" t="str">
            <v>H</v>
          </cell>
        </row>
        <row r="355">
          <cell r="B355" t="str">
            <v>H</v>
          </cell>
          <cell r="AU355">
            <v>0</v>
          </cell>
        </row>
        <row r="356">
          <cell r="B356" t="str">
            <v>H</v>
          </cell>
          <cell r="AU356">
            <v>0</v>
          </cell>
        </row>
        <row r="357">
          <cell r="B357" t="str">
            <v>H</v>
          </cell>
          <cell r="AU357">
            <v>0</v>
          </cell>
        </row>
        <row r="358">
          <cell r="B358" t="str">
            <v>H</v>
          </cell>
        </row>
        <row r="359">
          <cell r="B359" t="str">
            <v>H</v>
          </cell>
          <cell r="AU359">
            <v>0</v>
          </cell>
        </row>
        <row r="360">
          <cell r="B360" t="str">
            <v>H</v>
          </cell>
          <cell r="AU360">
            <v>0</v>
          </cell>
        </row>
        <row r="361">
          <cell r="B361" t="str">
            <v>H</v>
          </cell>
        </row>
        <row r="362">
          <cell r="B362" t="str">
            <v>H</v>
          </cell>
        </row>
        <row r="364">
          <cell r="B364" t="str">
            <v>H</v>
          </cell>
          <cell r="AU364">
            <v>0</v>
          </cell>
        </row>
        <row r="365">
          <cell r="B365" t="str">
            <v>H</v>
          </cell>
          <cell r="AU365">
            <v>0</v>
          </cell>
        </row>
        <row r="366">
          <cell r="B366" t="str">
            <v>H</v>
          </cell>
          <cell r="AU366">
            <v>0</v>
          </cell>
        </row>
        <row r="367">
          <cell r="B367" t="str">
            <v>H</v>
          </cell>
          <cell r="AU367">
            <v>0</v>
          </cell>
        </row>
        <row r="368">
          <cell r="B368" t="str">
            <v>H</v>
          </cell>
          <cell r="AU368">
            <v>0</v>
          </cell>
        </row>
        <row r="369">
          <cell r="B369" t="str">
            <v>H</v>
          </cell>
          <cell r="AU369">
            <v>0</v>
          </cell>
        </row>
        <row r="370">
          <cell r="B370" t="str">
            <v>H</v>
          </cell>
        </row>
        <row r="371">
          <cell r="B371" t="str">
            <v>H</v>
          </cell>
        </row>
        <row r="373">
          <cell r="B373" t="str">
            <v>H</v>
          </cell>
        </row>
        <row r="374">
          <cell r="B374" t="str">
            <v>H</v>
          </cell>
        </row>
        <row r="375">
          <cell r="B375" t="str">
            <v>H</v>
          </cell>
          <cell r="AU375">
            <v>0</v>
          </cell>
        </row>
        <row r="376">
          <cell r="B376" t="str">
            <v>H</v>
          </cell>
        </row>
        <row r="377">
          <cell r="B377" t="str">
            <v>H</v>
          </cell>
          <cell r="AU377">
            <v>0</v>
          </cell>
        </row>
        <row r="378">
          <cell r="B378" t="str">
            <v>H</v>
          </cell>
        </row>
        <row r="379">
          <cell r="B379" t="str">
            <v>H</v>
          </cell>
          <cell r="AU379">
            <v>0</v>
          </cell>
        </row>
        <row r="380">
          <cell r="B380" t="str">
            <v>H</v>
          </cell>
          <cell r="AU380">
            <v>0</v>
          </cell>
        </row>
        <row r="381">
          <cell r="B381" t="str">
            <v>H</v>
          </cell>
          <cell r="AU381">
            <v>0</v>
          </cell>
        </row>
        <row r="383">
          <cell r="B383" t="str">
            <v>H</v>
          </cell>
          <cell r="AU383">
            <v>0</v>
          </cell>
        </row>
        <row r="384">
          <cell r="B384" t="str">
            <v>H</v>
          </cell>
          <cell r="AU384">
            <v>0</v>
          </cell>
        </row>
        <row r="385">
          <cell r="B385" t="str">
            <v>H</v>
          </cell>
          <cell r="AU385">
            <v>0</v>
          </cell>
        </row>
        <row r="386">
          <cell r="B386" t="str">
            <v>H</v>
          </cell>
        </row>
        <row r="387">
          <cell r="B387" t="str">
            <v>H</v>
          </cell>
          <cell r="AU387">
            <v>0</v>
          </cell>
        </row>
        <row r="388">
          <cell r="B388" t="str">
            <v>H</v>
          </cell>
        </row>
        <row r="389">
          <cell r="B389" t="str">
            <v>H</v>
          </cell>
          <cell r="AU389">
            <v>0</v>
          </cell>
        </row>
        <row r="390">
          <cell r="B390" t="str">
            <v>H</v>
          </cell>
          <cell r="AU390">
            <v>0</v>
          </cell>
        </row>
        <row r="391">
          <cell r="B391" t="str">
            <v>H</v>
          </cell>
        </row>
        <row r="392">
          <cell r="B392" t="str">
            <v>H</v>
          </cell>
          <cell r="AU392">
            <v>0</v>
          </cell>
        </row>
        <row r="393">
          <cell r="B393" t="str">
            <v>H</v>
          </cell>
          <cell r="AU393">
            <v>0</v>
          </cell>
        </row>
        <row r="394">
          <cell r="B394" t="str">
            <v>H</v>
          </cell>
        </row>
        <row r="395">
          <cell r="B395" t="str">
            <v>H</v>
          </cell>
        </row>
        <row r="397">
          <cell r="B397" t="str">
            <v>H</v>
          </cell>
          <cell r="AU397">
            <v>0</v>
          </cell>
        </row>
        <row r="398">
          <cell r="B398" t="str">
            <v>H</v>
          </cell>
          <cell r="AU398">
            <v>0</v>
          </cell>
        </row>
        <row r="399">
          <cell r="B399" t="str">
            <v>H</v>
          </cell>
          <cell r="AU399">
            <v>0</v>
          </cell>
        </row>
        <row r="400">
          <cell r="B400" t="str">
            <v>H</v>
          </cell>
          <cell r="AU400">
            <v>0</v>
          </cell>
        </row>
        <row r="401">
          <cell r="B401" t="str">
            <v>H</v>
          </cell>
          <cell r="AU401">
            <v>0</v>
          </cell>
        </row>
        <row r="402">
          <cell r="B402" t="str">
            <v>H</v>
          </cell>
          <cell r="AU402">
            <v>0</v>
          </cell>
        </row>
        <row r="403">
          <cell r="B403" t="str">
            <v>H</v>
          </cell>
          <cell r="AU403">
            <v>0</v>
          </cell>
        </row>
        <row r="404">
          <cell r="B404" t="str">
            <v>H</v>
          </cell>
          <cell r="AU404">
            <v>0</v>
          </cell>
        </row>
        <row r="406">
          <cell r="B406" t="str">
            <v>H</v>
          </cell>
          <cell r="AU406">
            <v>0</v>
          </cell>
        </row>
        <row r="407">
          <cell r="B407" t="str">
            <v>H</v>
          </cell>
          <cell r="AU407">
            <v>0</v>
          </cell>
        </row>
        <row r="408">
          <cell r="B408" t="str">
            <v>H</v>
          </cell>
          <cell r="AU408">
            <v>0</v>
          </cell>
        </row>
        <row r="409">
          <cell r="B409" t="str">
            <v>H</v>
          </cell>
          <cell r="AU409">
            <v>0</v>
          </cell>
        </row>
        <row r="410">
          <cell r="B410" t="str">
            <v>H</v>
          </cell>
          <cell r="AU410">
            <v>0</v>
          </cell>
        </row>
        <row r="412">
          <cell r="B412" t="str">
            <v>H</v>
          </cell>
        </row>
        <row r="413">
          <cell r="B413" t="str">
            <v>H</v>
          </cell>
          <cell r="AU413">
            <v>0</v>
          </cell>
        </row>
        <row r="414">
          <cell r="B414" t="str">
            <v>H</v>
          </cell>
          <cell r="AU414">
            <v>0</v>
          </cell>
        </row>
        <row r="415">
          <cell r="B415" t="str">
            <v>H</v>
          </cell>
          <cell r="AU415">
            <v>0</v>
          </cell>
        </row>
        <row r="416">
          <cell r="B416" t="str">
            <v>H</v>
          </cell>
          <cell r="AU416">
            <v>0</v>
          </cell>
        </row>
        <row r="417">
          <cell r="B417" t="str">
            <v>H</v>
          </cell>
          <cell r="AU417">
            <v>0</v>
          </cell>
        </row>
        <row r="419">
          <cell r="B419" t="str">
            <v>H</v>
          </cell>
          <cell r="AU419">
            <v>0</v>
          </cell>
        </row>
        <row r="420">
          <cell r="B420" t="str">
            <v>H</v>
          </cell>
        </row>
        <row r="421">
          <cell r="B421" t="str">
            <v>H</v>
          </cell>
          <cell r="AU421">
            <v>0</v>
          </cell>
        </row>
        <row r="422">
          <cell r="B422" t="str">
            <v>H</v>
          </cell>
          <cell r="AU422">
            <v>0</v>
          </cell>
        </row>
        <row r="423">
          <cell r="B423" t="str">
            <v>H</v>
          </cell>
        </row>
        <row r="424">
          <cell r="B424" t="str">
            <v>H</v>
          </cell>
          <cell r="AU424">
            <v>0</v>
          </cell>
        </row>
        <row r="425">
          <cell r="B425" t="str">
            <v>H</v>
          </cell>
          <cell r="AU425">
            <v>0</v>
          </cell>
        </row>
        <row r="426">
          <cell r="B426" t="str">
            <v>H</v>
          </cell>
        </row>
        <row r="427">
          <cell r="B427" t="str">
            <v>H</v>
          </cell>
        </row>
        <row r="429">
          <cell r="B429" t="str">
            <v>H</v>
          </cell>
          <cell r="AU429">
            <v>0</v>
          </cell>
        </row>
        <row r="430">
          <cell r="B430" t="str">
            <v>H</v>
          </cell>
          <cell r="AU430">
            <v>0</v>
          </cell>
        </row>
        <row r="431">
          <cell r="B431" t="str">
            <v>H</v>
          </cell>
          <cell r="AU431">
            <v>0</v>
          </cell>
        </row>
        <row r="432">
          <cell r="B432" t="str">
            <v>H</v>
          </cell>
          <cell r="AU432">
            <v>0</v>
          </cell>
        </row>
        <row r="433">
          <cell r="B433" t="str">
            <v>H</v>
          </cell>
          <cell r="AU433">
            <v>0</v>
          </cell>
        </row>
        <row r="434">
          <cell r="B434" t="str">
            <v>H</v>
          </cell>
          <cell r="AU434">
            <v>0</v>
          </cell>
        </row>
        <row r="435">
          <cell r="B435" t="str">
            <v>H</v>
          </cell>
        </row>
        <row r="436">
          <cell r="B436" t="str">
            <v>H</v>
          </cell>
        </row>
        <row r="438">
          <cell r="B438" t="str">
            <v>H</v>
          </cell>
        </row>
        <row r="439">
          <cell r="B439" t="str">
            <v>H</v>
          </cell>
        </row>
        <row r="440">
          <cell r="B440" t="str">
            <v>H</v>
          </cell>
          <cell r="AU440">
            <v>0</v>
          </cell>
        </row>
        <row r="441">
          <cell r="B441" t="str">
            <v>H</v>
          </cell>
        </row>
        <row r="442">
          <cell r="B442" t="str">
            <v>H</v>
          </cell>
          <cell r="AU442">
            <v>0</v>
          </cell>
        </row>
        <row r="443">
          <cell r="B443" t="str">
            <v>H</v>
          </cell>
        </row>
        <row r="444">
          <cell r="B444" t="str">
            <v>H</v>
          </cell>
          <cell r="AU444">
            <v>0</v>
          </cell>
        </row>
        <row r="445">
          <cell r="B445" t="str">
            <v>H</v>
          </cell>
          <cell r="AU445">
            <v>0</v>
          </cell>
        </row>
        <row r="446">
          <cell r="B446" t="str">
            <v>H</v>
          </cell>
          <cell r="AU446">
            <v>0</v>
          </cell>
        </row>
        <row r="448">
          <cell r="B448" t="str">
            <v>H</v>
          </cell>
          <cell r="AU448">
            <v>0</v>
          </cell>
        </row>
        <row r="449">
          <cell r="B449" t="str">
            <v>H</v>
          </cell>
          <cell r="AU449">
            <v>0</v>
          </cell>
        </row>
        <row r="450">
          <cell r="B450" t="str">
            <v>H</v>
          </cell>
          <cell r="AU450">
            <v>0</v>
          </cell>
        </row>
        <row r="451">
          <cell r="B451" t="str">
            <v>H</v>
          </cell>
        </row>
        <row r="452">
          <cell r="B452" t="str">
            <v>H</v>
          </cell>
        </row>
        <row r="453">
          <cell r="B453" t="str">
            <v>H</v>
          </cell>
          <cell r="AU453">
            <v>0</v>
          </cell>
        </row>
        <row r="454">
          <cell r="B454" t="str">
            <v>H</v>
          </cell>
        </row>
        <row r="455">
          <cell r="B455" t="str">
            <v>H</v>
          </cell>
          <cell r="AU455">
            <v>0</v>
          </cell>
        </row>
        <row r="456">
          <cell r="B456" t="str">
            <v>H</v>
          </cell>
          <cell r="AU456">
            <v>0</v>
          </cell>
        </row>
        <row r="457">
          <cell r="B457" t="str">
            <v>H</v>
          </cell>
        </row>
        <row r="458">
          <cell r="B458" t="str">
            <v>H</v>
          </cell>
          <cell r="AU458">
            <v>0</v>
          </cell>
        </row>
        <row r="459">
          <cell r="B459" t="str">
            <v>H</v>
          </cell>
          <cell r="AU459">
            <v>0</v>
          </cell>
        </row>
        <row r="460">
          <cell r="B460" t="str">
            <v>H</v>
          </cell>
        </row>
        <row r="461">
          <cell r="B461" t="str">
            <v>H</v>
          </cell>
        </row>
        <row r="463">
          <cell r="B463" t="str">
            <v>H</v>
          </cell>
          <cell r="AU463">
            <v>0</v>
          </cell>
        </row>
        <row r="464">
          <cell r="B464" t="str">
            <v>H</v>
          </cell>
          <cell r="AU464">
            <v>0</v>
          </cell>
        </row>
        <row r="465">
          <cell r="B465" t="str">
            <v>H</v>
          </cell>
          <cell r="AU465">
            <v>0</v>
          </cell>
        </row>
        <row r="466">
          <cell r="B466" t="str">
            <v>H</v>
          </cell>
          <cell r="AU466">
            <v>0</v>
          </cell>
        </row>
        <row r="467">
          <cell r="B467" t="str">
            <v>H</v>
          </cell>
          <cell r="AU467">
            <v>0</v>
          </cell>
        </row>
        <row r="468">
          <cell r="B468" t="str">
            <v>H</v>
          </cell>
          <cell r="AU468">
            <v>0</v>
          </cell>
        </row>
        <row r="469">
          <cell r="B469" t="str">
            <v>H</v>
          </cell>
          <cell r="AU469">
            <v>0</v>
          </cell>
        </row>
        <row r="470">
          <cell r="B470" t="str">
            <v>H</v>
          </cell>
          <cell r="AU470">
            <v>0</v>
          </cell>
        </row>
        <row r="472">
          <cell r="B472" t="str">
            <v>H</v>
          </cell>
          <cell r="AU472">
            <v>0</v>
          </cell>
        </row>
        <row r="473">
          <cell r="B473" t="str">
            <v>H</v>
          </cell>
          <cell r="AU473">
            <v>0</v>
          </cell>
        </row>
        <row r="474">
          <cell r="B474" t="str">
            <v>H</v>
          </cell>
          <cell r="AU474">
            <v>0</v>
          </cell>
        </row>
        <row r="475">
          <cell r="B475" t="str">
            <v>H</v>
          </cell>
          <cell r="AU475">
            <v>0</v>
          </cell>
        </row>
        <row r="476">
          <cell r="B476" t="str">
            <v>H</v>
          </cell>
          <cell r="AU476">
            <v>0</v>
          </cell>
        </row>
        <row r="483">
          <cell r="B483" t="str">
            <v>I</v>
          </cell>
          <cell r="AU483">
            <v>0</v>
          </cell>
        </row>
        <row r="484">
          <cell r="B484" t="str">
            <v>I</v>
          </cell>
          <cell r="AU484">
            <v>0</v>
          </cell>
        </row>
        <row r="485">
          <cell r="B485" t="str">
            <v>I</v>
          </cell>
          <cell r="AU485">
            <v>0</v>
          </cell>
        </row>
        <row r="486">
          <cell r="B486" t="str">
            <v>I</v>
          </cell>
        </row>
        <row r="487">
          <cell r="B487" t="str">
            <v>I</v>
          </cell>
          <cell r="AU487">
            <v>0</v>
          </cell>
        </row>
        <row r="488">
          <cell r="B488" t="str">
            <v>I</v>
          </cell>
          <cell r="AU488">
            <v>0</v>
          </cell>
        </row>
        <row r="489">
          <cell r="B489" t="str">
            <v>I</v>
          </cell>
        </row>
        <row r="490">
          <cell r="B490" t="str">
            <v>I</v>
          </cell>
          <cell r="AU490">
            <v>0</v>
          </cell>
        </row>
        <row r="495">
          <cell r="B495" t="str">
            <v>I</v>
          </cell>
          <cell r="AU495">
            <v>0</v>
          </cell>
        </row>
        <row r="496">
          <cell r="B496" t="str">
            <v>I</v>
          </cell>
          <cell r="AU496">
            <v>0</v>
          </cell>
        </row>
        <row r="497">
          <cell r="B497" t="str">
            <v>I</v>
          </cell>
        </row>
        <row r="498">
          <cell r="B498" t="str">
            <v>I</v>
          </cell>
          <cell r="AU498">
            <v>0</v>
          </cell>
        </row>
        <row r="499">
          <cell r="B499" t="str">
            <v>I</v>
          </cell>
          <cell r="AU499">
            <v>0</v>
          </cell>
        </row>
        <row r="500">
          <cell r="B500" t="str">
            <v>I</v>
          </cell>
          <cell r="AU5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5">
          <cell r="O15">
            <v>154414325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3008101321.8000002</v>
          </cell>
        </row>
        <row r="19">
          <cell r="O19">
            <v>0</v>
          </cell>
        </row>
        <row r="20">
          <cell r="O20">
            <v>63788019.899999999</v>
          </cell>
        </row>
        <row r="22">
          <cell r="O22">
            <v>27336744</v>
          </cell>
        </row>
        <row r="23">
          <cell r="O23">
            <v>129756280</v>
          </cell>
        </row>
        <row r="24">
          <cell r="O24">
            <v>6418650</v>
          </cell>
        </row>
        <row r="25">
          <cell r="O25">
            <v>22500000</v>
          </cell>
        </row>
        <row r="29">
          <cell r="O29">
            <v>2712636107</v>
          </cell>
        </row>
        <row r="31">
          <cell r="O31">
            <v>0</v>
          </cell>
        </row>
        <row r="32">
          <cell r="O32">
            <v>493378710</v>
          </cell>
        </row>
        <row r="33">
          <cell r="O33">
            <v>1311013990</v>
          </cell>
        </row>
        <row r="34">
          <cell r="O34">
            <v>0</v>
          </cell>
        </row>
        <row r="35">
          <cell r="O35">
            <v>1856750872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2917421982</v>
          </cell>
        </row>
        <row r="39">
          <cell r="O39">
            <v>201446784</v>
          </cell>
        </row>
        <row r="40">
          <cell r="O40">
            <v>0</v>
          </cell>
        </row>
        <row r="41">
          <cell r="O41">
            <v>273173952</v>
          </cell>
        </row>
        <row r="42">
          <cell r="O42">
            <v>2277206416</v>
          </cell>
        </row>
        <row r="43">
          <cell r="O43">
            <v>1163325408</v>
          </cell>
        </row>
        <row r="44">
          <cell r="O44">
            <v>446099920</v>
          </cell>
        </row>
        <row r="45">
          <cell r="O45">
            <v>2493888099</v>
          </cell>
        </row>
        <row r="47">
          <cell r="O47">
            <v>0</v>
          </cell>
        </row>
        <row r="48">
          <cell r="O48">
            <v>412813592</v>
          </cell>
        </row>
        <row r="49">
          <cell r="O49">
            <v>1724400510</v>
          </cell>
        </row>
        <row r="51">
          <cell r="O51">
            <v>586598808</v>
          </cell>
        </row>
        <row r="52">
          <cell r="O52">
            <v>16580400</v>
          </cell>
        </row>
        <row r="53">
          <cell r="O53">
            <v>241730870</v>
          </cell>
        </row>
        <row r="57">
          <cell r="O57">
            <v>808759530</v>
          </cell>
        </row>
        <row r="61">
          <cell r="O61">
            <v>59146369</v>
          </cell>
        </row>
        <row r="63">
          <cell r="O63">
            <v>807585450</v>
          </cell>
        </row>
        <row r="65">
          <cell r="O65">
            <v>39975696</v>
          </cell>
        </row>
        <row r="66">
          <cell r="O66">
            <v>486640</v>
          </cell>
        </row>
        <row r="67">
          <cell r="O67">
            <v>274540080</v>
          </cell>
        </row>
        <row r="68">
          <cell r="O68">
            <v>351420896</v>
          </cell>
        </row>
        <row r="69">
          <cell r="O69">
            <v>62155536</v>
          </cell>
        </row>
        <row r="70">
          <cell r="O70">
            <v>161701280</v>
          </cell>
        </row>
        <row r="71">
          <cell r="O71">
            <v>111169120</v>
          </cell>
        </row>
        <row r="72">
          <cell r="O72">
            <v>237998880</v>
          </cell>
        </row>
        <row r="73">
          <cell r="O73">
            <v>2628776</v>
          </cell>
        </row>
        <row r="74">
          <cell r="O74">
            <v>6405164</v>
          </cell>
        </row>
        <row r="75">
          <cell r="O75">
            <v>36022560</v>
          </cell>
        </row>
        <row r="76">
          <cell r="O76">
            <v>0</v>
          </cell>
        </row>
        <row r="77">
          <cell r="O77">
            <v>66650220</v>
          </cell>
        </row>
        <row r="78">
          <cell r="O78">
            <v>5765500</v>
          </cell>
        </row>
        <row r="80">
          <cell r="O80">
            <v>6918600</v>
          </cell>
        </row>
        <row r="81">
          <cell r="O81">
            <v>0</v>
          </cell>
        </row>
        <row r="82">
          <cell r="O82">
            <v>194945980</v>
          </cell>
        </row>
        <row r="84">
          <cell r="O84">
            <v>2007090</v>
          </cell>
        </row>
        <row r="85">
          <cell r="O85">
            <v>0</v>
          </cell>
        </row>
        <row r="86">
          <cell r="O86">
            <v>442625820</v>
          </cell>
        </row>
        <row r="87">
          <cell r="O87">
            <v>7841080</v>
          </cell>
        </row>
        <row r="88">
          <cell r="O88">
            <v>0</v>
          </cell>
        </row>
        <row r="89">
          <cell r="O89">
            <v>10012080</v>
          </cell>
        </row>
        <row r="90">
          <cell r="O90">
            <v>4963020</v>
          </cell>
        </row>
        <row r="96">
          <cell r="O96">
            <v>116922339</v>
          </cell>
        </row>
        <row r="97">
          <cell r="O97">
            <v>2210450</v>
          </cell>
        </row>
        <row r="99">
          <cell r="O99">
            <v>3114450</v>
          </cell>
        </row>
        <row r="100">
          <cell r="O100">
            <v>442400</v>
          </cell>
        </row>
        <row r="101">
          <cell r="O101">
            <v>98687940</v>
          </cell>
        </row>
        <row r="102">
          <cell r="O102">
            <v>45979200</v>
          </cell>
        </row>
        <row r="103">
          <cell r="O103">
            <v>31378300</v>
          </cell>
        </row>
        <row r="104">
          <cell r="O104">
            <v>5240250</v>
          </cell>
        </row>
        <row r="105">
          <cell r="O105">
            <v>5595807</v>
          </cell>
        </row>
        <row r="106">
          <cell r="O106">
            <v>326968</v>
          </cell>
        </row>
        <row r="107">
          <cell r="O107">
            <v>0</v>
          </cell>
        </row>
        <row r="108">
          <cell r="O108">
            <v>42793020</v>
          </cell>
        </row>
        <row r="111">
          <cell r="O111">
            <v>10845207</v>
          </cell>
        </row>
        <row r="112">
          <cell r="O112">
            <v>66360</v>
          </cell>
        </row>
        <row r="113">
          <cell r="O113">
            <v>2264548</v>
          </cell>
        </row>
        <row r="114">
          <cell r="O114">
            <v>5545152</v>
          </cell>
        </row>
        <row r="115">
          <cell r="O115">
            <v>9336173</v>
          </cell>
        </row>
        <row r="116">
          <cell r="O116">
            <v>0</v>
          </cell>
        </row>
        <row r="117">
          <cell r="O117">
            <v>5804000</v>
          </cell>
        </row>
        <row r="118">
          <cell r="O118">
            <v>88128852</v>
          </cell>
        </row>
        <row r="119">
          <cell r="O119">
            <v>5526470</v>
          </cell>
        </row>
        <row r="120">
          <cell r="O120">
            <v>61270545</v>
          </cell>
        </row>
        <row r="121">
          <cell r="O121">
            <v>24094623</v>
          </cell>
        </row>
        <row r="122">
          <cell r="O122">
            <v>30590140</v>
          </cell>
        </row>
        <row r="123">
          <cell r="O123">
            <v>9498369</v>
          </cell>
        </row>
        <row r="124">
          <cell r="O124">
            <v>0</v>
          </cell>
        </row>
        <row r="125">
          <cell r="O125">
            <v>85586040</v>
          </cell>
        </row>
        <row r="126">
          <cell r="O126">
            <v>0</v>
          </cell>
        </row>
        <row r="127">
          <cell r="O127">
            <v>56396340</v>
          </cell>
        </row>
        <row r="128">
          <cell r="O128">
            <v>8648250</v>
          </cell>
        </row>
        <row r="130">
          <cell r="O130">
            <v>2007090</v>
          </cell>
        </row>
        <row r="131">
          <cell r="O131">
            <v>121660</v>
          </cell>
        </row>
        <row r="132">
          <cell r="O132">
            <v>4989825</v>
          </cell>
        </row>
        <row r="133">
          <cell r="O133">
            <v>0</v>
          </cell>
        </row>
        <row r="134">
          <cell r="O134">
            <v>29975800</v>
          </cell>
        </row>
        <row r="135">
          <cell r="O135">
            <v>43208130</v>
          </cell>
        </row>
        <row r="136">
          <cell r="O136">
            <v>12724470</v>
          </cell>
        </row>
        <row r="137">
          <cell r="O137">
            <v>1741460</v>
          </cell>
        </row>
        <row r="141">
          <cell r="O141">
            <v>16731927</v>
          </cell>
        </row>
        <row r="142">
          <cell r="O142">
            <v>1125320</v>
          </cell>
        </row>
        <row r="144">
          <cell r="O144">
            <v>8997300</v>
          </cell>
        </row>
        <row r="145">
          <cell r="O145">
            <v>1216600</v>
          </cell>
        </row>
        <row r="146">
          <cell r="O146">
            <v>19279500</v>
          </cell>
        </row>
        <row r="147">
          <cell r="O147">
            <v>1741960</v>
          </cell>
        </row>
        <row r="148">
          <cell r="O148">
            <v>21308170</v>
          </cell>
        </row>
        <row r="149">
          <cell r="O149">
            <v>6259740</v>
          </cell>
        </row>
        <row r="150">
          <cell r="O150">
            <v>2728676</v>
          </cell>
        </row>
        <row r="151">
          <cell r="O151">
            <v>56425</v>
          </cell>
        </row>
        <row r="152">
          <cell r="O152">
            <v>0</v>
          </cell>
        </row>
        <row r="153">
          <cell r="O153">
            <v>168172</v>
          </cell>
        </row>
        <row r="154">
          <cell r="O154">
            <v>15701650</v>
          </cell>
        </row>
        <row r="155">
          <cell r="O155">
            <v>27877494</v>
          </cell>
        </row>
        <row r="156">
          <cell r="O156">
            <v>1575895</v>
          </cell>
        </row>
        <row r="157">
          <cell r="O157">
            <v>15353280</v>
          </cell>
        </row>
        <row r="158">
          <cell r="O158">
            <v>35699832</v>
          </cell>
        </row>
        <row r="159">
          <cell r="O159">
            <v>84938</v>
          </cell>
        </row>
        <row r="160">
          <cell r="O160">
            <v>3216300</v>
          </cell>
        </row>
        <row r="161">
          <cell r="O161">
            <v>0</v>
          </cell>
        </row>
        <row r="162">
          <cell r="O162">
            <v>20059362</v>
          </cell>
        </row>
        <row r="164">
          <cell r="O164">
            <v>3737340</v>
          </cell>
        </row>
        <row r="165">
          <cell r="O165">
            <v>3318000</v>
          </cell>
        </row>
        <row r="166">
          <cell r="O166">
            <v>5398260</v>
          </cell>
        </row>
        <row r="167">
          <cell r="O167">
            <v>16390900</v>
          </cell>
        </row>
        <row r="168">
          <cell r="O168">
            <v>3436720</v>
          </cell>
        </row>
        <row r="169">
          <cell r="O169">
            <v>14329173</v>
          </cell>
        </row>
        <row r="170">
          <cell r="O170">
            <v>791800</v>
          </cell>
        </row>
        <row r="171">
          <cell r="O171">
            <v>40691820</v>
          </cell>
        </row>
        <row r="172">
          <cell r="O172">
            <v>0</v>
          </cell>
        </row>
        <row r="173">
          <cell r="O173">
            <v>17086206</v>
          </cell>
        </row>
        <row r="174">
          <cell r="O174">
            <v>10032120</v>
          </cell>
        </row>
        <row r="175">
          <cell r="O175">
            <v>42292600</v>
          </cell>
        </row>
        <row r="176">
          <cell r="O176">
            <v>32583180</v>
          </cell>
        </row>
        <row r="177">
          <cell r="O177">
            <v>6370350</v>
          </cell>
        </row>
        <row r="178">
          <cell r="O178">
            <v>157990</v>
          </cell>
        </row>
        <row r="179">
          <cell r="O179">
            <v>214420</v>
          </cell>
        </row>
        <row r="180">
          <cell r="O180">
            <v>0</v>
          </cell>
        </row>
        <row r="181">
          <cell r="O181">
            <v>504516</v>
          </cell>
        </row>
        <row r="182">
          <cell r="O182">
            <v>2612700</v>
          </cell>
        </row>
        <row r="183">
          <cell r="O183">
            <v>169663</v>
          </cell>
        </row>
        <row r="184">
          <cell r="O184">
            <v>27852586</v>
          </cell>
        </row>
        <row r="189">
          <cell r="O189">
            <v>4152600</v>
          </cell>
        </row>
        <row r="190">
          <cell r="O190">
            <v>5269730</v>
          </cell>
        </row>
        <row r="191">
          <cell r="O191">
            <v>6720269</v>
          </cell>
        </row>
        <row r="192">
          <cell r="O192">
            <v>1963840</v>
          </cell>
        </row>
        <row r="193">
          <cell r="O193">
            <v>0</v>
          </cell>
        </row>
        <row r="194">
          <cell r="O194">
            <v>13489110</v>
          </cell>
        </row>
        <row r="195">
          <cell r="O195">
            <v>1575895</v>
          </cell>
        </row>
        <row r="196">
          <cell r="O196">
            <v>3091980</v>
          </cell>
        </row>
        <row r="197">
          <cell r="O197">
            <v>5666640</v>
          </cell>
        </row>
        <row r="203">
          <cell r="O203">
            <v>17241510</v>
          </cell>
        </row>
        <row r="204">
          <cell r="O204">
            <v>71238786</v>
          </cell>
        </row>
        <row r="205">
          <cell r="O205">
            <v>19926238</v>
          </cell>
        </row>
        <row r="208">
          <cell r="O208">
            <v>45062631</v>
          </cell>
        </row>
        <row r="209">
          <cell r="O209">
            <v>2510620</v>
          </cell>
        </row>
        <row r="211">
          <cell r="O211">
            <v>714183680</v>
          </cell>
        </row>
        <row r="212">
          <cell r="O212">
            <v>42447600</v>
          </cell>
        </row>
        <row r="213">
          <cell r="O213">
            <v>75082980</v>
          </cell>
        </row>
        <row r="214">
          <cell r="O214">
            <v>41619620</v>
          </cell>
        </row>
        <row r="215">
          <cell r="O215">
            <v>337274600</v>
          </cell>
        </row>
        <row r="216">
          <cell r="O216">
            <v>11793100</v>
          </cell>
        </row>
        <row r="217">
          <cell r="O217">
            <v>0</v>
          </cell>
        </row>
        <row r="218">
          <cell r="O218">
            <v>9249460</v>
          </cell>
        </row>
        <row r="219">
          <cell r="O219">
            <v>8689450</v>
          </cell>
        </row>
        <row r="221">
          <cell r="O221">
            <v>0</v>
          </cell>
        </row>
        <row r="222">
          <cell r="O222">
            <v>57651840</v>
          </cell>
        </row>
        <row r="223">
          <cell r="O223">
            <v>0</v>
          </cell>
        </row>
        <row r="224">
          <cell r="O224">
            <v>33825000</v>
          </cell>
        </row>
        <row r="225">
          <cell r="O225">
            <v>733374681</v>
          </cell>
        </row>
        <row r="226">
          <cell r="O226">
            <v>185229672</v>
          </cell>
        </row>
        <row r="228">
          <cell r="O228">
            <v>0</v>
          </cell>
        </row>
        <row r="230">
          <cell r="O230">
            <v>3144852089.2800002</v>
          </cell>
        </row>
        <row r="234">
          <cell r="O234">
            <v>41387580</v>
          </cell>
        </row>
        <row r="235">
          <cell r="O235">
            <v>65032800</v>
          </cell>
        </row>
        <row r="237">
          <cell r="O237">
            <v>211029805</v>
          </cell>
        </row>
        <row r="238">
          <cell r="O238">
            <v>2506217</v>
          </cell>
        </row>
        <row r="239">
          <cell r="O239">
            <v>11757944.800000001</v>
          </cell>
        </row>
        <row r="240">
          <cell r="O240">
            <v>88753749</v>
          </cell>
        </row>
        <row r="241">
          <cell r="O241">
            <v>20215244</v>
          </cell>
        </row>
        <row r="242">
          <cell r="O242">
            <v>155985060</v>
          </cell>
        </row>
        <row r="243">
          <cell r="O243">
            <v>6904324</v>
          </cell>
        </row>
        <row r="244">
          <cell r="O244">
            <v>0</v>
          </cell>
        </row>
        <row r="245">
          <cell r="O245">
            <v>6474622</v>
          </cell>
        </row>
        <row r="246">
          <cell r="O246">
            <v>3712765</v>
          </cell>
        </row>
        <row r="248">
          <cell r="O248">
            <v>260498160</v>
          </cell>
        </row>
        <row r="249">
          <cell r="O249">
            <v>156866736</v>
          </cell>
        </row>
        <row r="250">
          <cell r="O250">
            <v>2111730.6</v>
          </cell>
        </row>
        <row r="252">
          <cell r="O252">
            <v>0</v>
          </cell>
        </row>
        <row r="253">
          <cell r="O253">
            <v>115315430</v>
          </cell>
        </row>
        <row r="254">
          <cell r="O254">
            <v>0</v>
          </cell>
        </row>
        <row r="255">
          <cell r="O255">
            <v>113472920</v>
          </cell>
        </row>
        <row r="257">
          <cell r="O257">
            <v>74414686</v>
          </cell>
        </row>
        <row r="258">
          <cell r="O258">
            <v>56553200</v>
          </cell>
        </row>
        <row r="259">
          <cell r="O259">
            <v>2816664</v>
          </cell>
        </row>
        <row r="260">
          <cell r="O260">
            <v>62423400</v>
          </cell>
        </row>
        <row r="261">
          <cell r="O261">
            <v>20865800</v>
          </cell>
        </row>
        <row r="262">
          <cell r="O262">
            <v>60916380</v>
          </cell>
        </row>
        <row r="263">
          <cell r="O263">
            <v>16419480</v>
          </cell>
        </row>
        <row r="264">
          <cell r="O264">
            <v>4766600</v>
          </cell>
        </row>
        <row r="265">
          <cell r="O265">
            <v>10721000</v>
          </cell>
        </row>
        <row r="267">
          <cell r="O267">
            <v>1384200</v>
          </cell>
        </row>
        <row r="268">
          <cell r="O268">
            <v>0</v>
          </cell>
        </row>
        <row r="269">
          <cell r="O269">
            <v>95571840</v>
          </cell>
        </row>
        <row r="270">
          <cell r="O270">
            <v>5012670</v>
          </cell>
        </row>
        <row r="273">
          <cell r="O273">
            <v>42956595</v>
          </cell>
        </row>
        <row r="274">
          <cell r="O274">
            <v>1941030</v>
          </cell>
        </row>
        <row r="275">
          <cell r="O275">
            <v>10624950</v>
          </cell>
        </row>
        <row r="276">
          <cell r="O276">
            <v>11466630</v>
          </cell>
        </row>
        <row r="277">
          <cell r="O277">
            <v>24167200</v>
          </cell>
        </row>
        <row r="278">
          <cell r="O278">
            <v>0</v>
          </cell>
        </row>
        <row r="279">
          <cell r="O279">
            <v>834000000</v>
          </cell>
        </row>
        <row r="280">
          <cell r="O280">
            <v>0</v>
          </cell>
        </row>
        <row r="281">
          <cell r="O281">
            <v>115776960</v>
          </cell>
        </row>
        <row r="282">
          <cell r="O282">
            <v>2028032</v>
          </cell>
        </row>
        <row r="283">
          <cell r="O283">
            <v>12700000</v>
          </cell>
        </row>
        <row r="285">
          <cell r="O285">
            <v>21215310</v>
          </cell>
        </row>
        <row r="291">
          <cell r="O291">
            <v>101635586</v>
          </cell>
        </row>
        <row r="292">
          <cell r="O292">
            <v>12177570</v>
          </cell>
        </row>
        <row r="295">
          <cell r="O295">
            <v>12527010</v>
          </cell>
        </row>
        <row r="296">
          <cell r="O296">
            <v>24079680</v>
          </cell>
        </row>
        <row r="297">
          <cell r="O297">
            <v>6304200</v>
          </cell>
        </row>
        <row r="298">
          <cell r="O298">
            <v>3744790</v>
          </cell>
        </row>
        <row r="299">
          <cell r="O299">
            <v>31972850</v>
          </cell>
        </row>
        <row r="301">
          <cell r="O301">
            <v>0</v>
          </cell>
        </row>
        <row r="302">
          <cell r="O302">
            <v>0</v>
          </cell>
        </row>
        <row r="303">
          <cell r="O303">
            <v>0</v>
          </cell>
        </row>
        <row r="304">
          <cell r="O304">
            <v>19983031</v>
          </cell>
        </row>
        <row r="305">
          <cell r="O305">
            <v>0</v>
          </cell>
        </row>
        <row r="306">
          <cell r="O306">
            <v>0</v>
          </cell>
        </row>
        <row r="307">
          <cell r="O307">
            <v>281602800</v>
          </cell>
        </row>
        <row r="308">
          <cell r="O308">
            <v>7818800</v>
          </cell>
        </row>
        <row r="309">
          <cell r="O309">
            <v>1267928</v>
          </cell>
        </row>
        <row r="310">
          <cell r="O310">
            <v>289443</v>
          </cell>
        </row>
        <row r="311">
          <cell r="O311">
            <v>5010432</v>
          </cell>
        </row>
        <row r="313">
          <cell r="O313">
            <v>163552480</v>
          </cell>
        </row>
        <row r="314">
          <cell r="O314">
            <v>5209974</v>
          </cell>
        </row>
        <row r="315">
          <cell r="O315">
            <v>138606000</v>
          </cell>
        </row>
        <row r="316">
          <cell r="O316">
            <v>14166600</v>
          </cell>
        </row>
        <row r="317">
          <cell r="O317">
            <v>46715900</v>
          </cell>
        </row>
        <row r="318">
          <cell r="O318">
            <v>3006280</v>
          </cell>
        </row>
        <row r="319">
          <cell r="O319">
            <v>1828632</v>
          </cell>
        </row>
        <row r="320">
          <cell r="O320">
            <v>4824450</v>
          </cell>
        </row>
        <row r="322">
          <cell r="O322">
            <v>0</v>
          </cell>
        </row>
        <row r="323">
          <cell r="O323">
            <v>2533430997</v>
          </cell>
        </row>
        <row r="324">
          <cell r="O324">
            <v>0</v>
          </cell>
        </row>
        <row r="325">
          <cell r="O325">
            <v>51078420</v>
          </cell>
        </row>
        <row r="326">
          <cell r="O326">
            <v>0</v>
          </cell>
        </row>
        <row r="327">
          <cell r="O327">
            <v>105000000</v>
          </cell>
        </row>
        <row r="328">
          <cell r="O328">
            <v>70113950</v>
          </cell>
        </row>
        <row r="329">
          <cell r="O329">
            <v>181254000</v>
          </cell>
        </row>
        <row r="330">
          <cell r="O330">
            <v>17836980</v>
          </cell>
        </row>
        <row r="332">
          <cell r="O332">
            <v>0</v>
          </cell>
        </row>
        <row r="333">
          <cell r="O333">
            <v>66150740</v>
          </cell>
        </row>
        <row r="334">
          <cell r="O334">
            <v>0</v>
          </cell>
        </row>
        <row r="335">
          <cell r="O335">
            <v>0</v>
          </cell>
        </row>
        <row r="336">
          <cell r="O336">
            <v>15373200</v>
          </cell>
        </row>
        <row r="337">
          <cell r="O337">
            <v>10308730</v>
          </cell>
        </row>
        <row r="338">
          <cell r="O338">
            <v>0</v>
          </cell>
        </row>
        <row r="339">
          <cell r="O339">
            <v>3489251</v>
          </cell>
        </row>
        <row r="340">
          <cell r="O340">
            <v>20889000</v>
          </cell>
        </row>
        <row r="341">
          <cell r="O341">
            <v>6940956</v>
          </cell>
        </row>
        <row r="342">
          <cell r="O342">
            <v>13197170</v>
          </cell>
        </row>
        <row r="343">
          <cell r="O343">
            <v>17708250</v>
          </cell>
        </row>
        <row r="344">
          <cell r="O344">
            <v>1998304</v>
          </cell>
        </row>
        <row r="345">
          <cell r="O345">
            <v>5608032</v>
          </cell>
        </row>
        <row r="346">
          <cell r="O346">
            <v>5104160</v>
          </cell>
        </row>
        <row r="347">
          <cell r="O347">
            <v>6553108</v>
          </cell>
        </row>
        <row r="349">
          <cell r="O349">
            <v>8553270</v>
          </cell>
        </row>
        <row r="350">
          <cell r="O350">
            <v>195051710</v>
          </cell>
        </row>
        <row r="351">
          <cell r="O351">
            <v>12151260</v>
          </cell>
        </row>
        <row r="352">
          <cell r="O352">
            <v>3127122</v>
          </cell>
        </row>
        <row r="353">
          <cell r="O353">
            <v>1294020</v>
          </cell>
        </row>
        <row r="354">
          <cell r="O354">
            <v>4122640</v>
          </cell>
        </row>
        <row r="355">
          <cell r="O355">
            <v>33291510</v>
          </cell>
        </row>
        <row r="356">
          <cell r="O356">
            <v>17319120</v>
          </cell>
        </row>
        <row r="358">
          <cell r="O358">
            <v>26307336</v>
          </cell>
        </row>
        <row r="359">
          <cell r="O359">
            <v>12705220</v>
          </cell>
        </row>
        <row r="360">
          <cell r="O360">
            <v>52689120</v>
          </cell>
        </row>
        <row r="361">
          <cell r="O361">
            <v>6371585</v>
          </cell>
        </row>
        <row r="362">
          <cell r="O362">
            <v>53249790</v>
          </cell>
        </row>
        <row r="364">
          <cell r="O364">
            <v>17742336</v>
          </cell>
        </row>
        <row r="365">
          <cell r="O365">
            <v>1104660</v>
          </cell>
        </row>
        <row r="368">
          <cell r="O368">
            <v>9917793</v>
          </cell>
        </row>
        <row r="369">
          <cell r="O369">
            <v>26309280</v>
          </cell>
        </row>
        <row r="370">
          <cell r="O370">
            <v>6304200</v>
          </cell>
        </row>
        <row r="371">
          <cell r="O371">
            <v>3928960</v>
          </cell>
        </row>
        <row r="372">
          <cell r="O372">
            <v>20156373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19983031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587590200</v>
          </cell>
        </row>
        <row r="381">
          <cell r="O381">
            <v>15687356</v>
          </cell>
        </row>
        <row r="382">
          <cell r="O382">
            <v>1607770</v>
          </cell>
        </row>
        <row r="383">
          <cell r="O383">
            <v>323505</v>
          </cell>
        </row>
        <row r="384">
          <cell r="O384">
            <v>5845504</v>
          </cell>
        </row>
        <row r="386">
          <cell r="O386">
            <v>154745808</v>
          </cell>
        </row>
        <row r="387">
          <cell r="O387">
            <v>4631088</v>
          </cell>
        </row>
        <row r="388">
          <cell r="O388">
            <v>115974128</v>
          </cell>
        </row>
        <row r="389">
          <cell r="O389">
            <v>18062415</v>
          </cell>
        </row>
        <row r="390">
          <cell r="O390">
            <v>31936688</v>
          </cell>
        </row>
        <row r="391">
          <cell r="O391">
            <v>2630495</v>
          </cell>
        </row>
        <row r="392">
          <cell r="O392">
            <v>1828632</v>
          </cell>
        </row>
        <row r="393">
          <cell r="O393">
            <v>4824450</v>
          </cell>
        </row>
        <row r="395">
          <cell r="O395">
            <v>0</v>
          </cell>
        </row>
        <row r="396">
          <cell r="O396">
            <v>3737492642</v>
          </cell>
        </row>
        <row r="397">
          <cell r="O397">
            <v>0</v>
          </cell>
        </row>
        <row r="398">
          <cell r="O398">
            <v>60912432</v>
          </cell>
        </row>
        <row r="399">
          <cell r="O399">
            <v>0</v>
          </cell>
        </row>
        <row r="400">
          <cell r="O400">
            <v>129705920</v>
          </cell>
        </row>
        <row r="401">
          <cell r="O401">
            <v>82439200</v>
          </cell>
        </row>
        <row r="402">
          <cell r="O402">
            <v>225679000</v>
          </cell>
        </row>
        <row r="403">
          <cell r="O403">
            <v>21234500</v>
          </cell>
        </row>
        <row r="405">
          <cell r="O405">
            <v>0</v>
          </cell>
        </row>
        <row r="406">
          <cell r="O406">
            <v>68431800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30926190</v>
          </cell>
        </row>
        <row r="410">
          <cell r="O410">
            <v>0</v>
          </cell>
        </row>
        <row r="411">
          <cell r="O411">
            <v>4211165</v>
          </cell>
        </row>
        <row r="412">
          <cell r="O412">
            <v>27852000</v>
          </cell>
        </row>
        <row r="413">
          <cell r="O413">
            <v>9435420</v>
          </cell>
        </row>
        <row r="414">
          <cell r="O414">
            <v>16967790</v>
          </cell>
        </row>
        <row r="415">
          <cell r="O415">
            <v>21249900</v>
          </cell>
        </row>
        <row r="416">
          <cell r="O416">
            <v>1998304</v>
          </cell>
        </row>
        <row r="417">
          <cell r="O417">
            <v>8576800</v>
          </cell>
        </row>
        <row r="418">
          <cell r="O418">
            <v>5104160</v>
          </cell>
        </row>
        <row r="419">
          <cell r="O419">
            <v>6553108</v>
          </cell>
        </row>
        <row r="421">
          <cell r="O421">
            <v>18661680</v>
          </cell>
        </row>
        <row r="422">
          <cell r="O422">
            <v>81954500</v>
          </cell>
        </row>
        <row r="423">
          <cell r="O423">
            <v>9328240</v>
          </cell>
        </row>
        <row r="424">
          <cell r="O424">
            <v>2506217</v>
          </cell>
        </row>
        <row r="425">
          <cell r="O425">
            <v>1575895</v>
          </cell>
        </row>
        <row r="426">
          <cell r="O426">
            <v>3234140</v>
          </cell>
        </row>
        <row r="427">
          <cell r="O427">
            <v>19833240</v>
          </cell>
        </row>
        <row r="428">
          <cell r="O428">
            <v>13710970</v>
          </cell>
        </row>
        <row r="430">
          <cell r="O430">
            <v>34677852</v>
          </cell>
        </row>
        <row r="431">
          <cell r="O431">
            <v>17787308</v>
          </cell>
        </row>
        <row r="432">
          <cell r="O432">
            <v>66739552</v>
          </cell>
        </row>
        <row r="433">
          <cell r="O433">
            <v>8221400</v>
          </cell>
        </row>
        <row r="434">
          <cell r="O434">
            <v>67449734</v>
          </cell>
        </row>
        <row r="437">
          <cell r="O437">
            <v>8941932</v>
          </cell>
        </row>
        <row r="438">
          <cell r="O438">
            <v>16610520</v>
          </cell>
        </row>
        <row r="439">
          <cell r="O439">
            <v>6083000</v>
          </cell>
        </row>
        <row r="440">
          <cell r="O440">
            <v>1841700</v>
          </cell>
        </row>
        <row r="441">
          <cell r="O441">
            <v>20156373</v>
          </cell>
        </row>
        <row r="443">
          <cell r="O443">
            <v>0</v>
          </cell>
        </row>
        <row r="444">
          <cell r="O444">
            <v>0</v>
          </cell>
        </row>
        <row r="445">
          <cell r="O445">
            <v>19983031</v>
          </cell>
        </row>
        <row r="446">
          <cell r="O446">
            <v>0</v>
          </cell>
        </row>
        <row r="447">
          <cell r="O447">
            <v>461472000</v>
          </cell>
        </row>
        <row r="448">
          <cell r="O448">
            <v>16625612</v>
          </cell>
        </row>
        <row r="449">
          <cell r="O449">
            <v>1289507.3999999999</v>
          </cell>
        </row>
        <row r="450">
          <cell r="O450">
            <v>315179</v>
          </cell>
        </row>
        <row r="451">
          <cell r="O451">
            <v>4771840</v>
          </cell>
        </row>
        <row r="453">
          <cell r="O453">
            <v>132100080</v>
          </cell>
        </row>
        <row r="454">
          <cell r="O454">
            <v>3808688</v>
          </cell>
        </row>
        <row r="455">
          <cell r="O455">
            <v>111951000</v>
          </cell>
        </row>
        <row r="456">
          <cell r="O456">
            <v>14166600</v>
          </cell>
        </row>
        <row r="457">
          <cell r="O457">
            <v>38222100</v>
          </cell>
        </row>
        <row r="458">
          <cell r="O458">
            <v>1954082</v>
          </cell>
        </row>
        <row r="459">
          <cell r="O459">
            <v>1828632</v>
          </cell>
        </row>
        <row r="460">
          <cell r="O460">
            <v>4824450</v>
          </cell>
        </row>
        <row r="462">
          <cell r="O462">
            <v>0</v>
          </cell>
        </row>
        <row r="463">
          <cell r="O463">
            <v>1993026908</v>
          </cell>
        </row>
        <row r="464">
          <cell r="O464">
            <v>0</v>
          </cell>
        </row>
        <row r="465">
          <cell r="O465">
            <v>35809092</v>
          </cell>
        </row>
        <row r="466">
          <cell r="O466">
            <v>0</v>
          </cell>
        </row>
        <row r="467">
          <cell r="O467">
            <v>71647000</v>
          </cell>
        </row>
        <row r="468">
          <cell r="O468">
            <v>49614840</v>
          </cell>
        </row>
        <row r="469">
          <cell r="O469">
            <v>124390000</v>
          </cell>
        </row>
        <row r="470">
          <cell r="O470">
            <v>12740700</v>
          </cell>
        </row>
        <row r="472">
          <cell r="O472">
            <v>0</v>
          </cell>
        </row>
        <row r="473">
          <cell r="O473">
            <v>45621200</v>
          </cell>
        </row>
        <row r="474">
          <cell r="O474">
            <v>0</v>
          </cell>
        </row>
        <row r="475">
          <cell r="O475">
            <v>0</v>
          </cell>
        </row>
        <row r="476">
          <cell r="O476">
            <v>7686600</v>
          </cell>
        </row>
        <row r="477">
          <cell r="O477">
            <v>10308730</v>
          </cell>
        </row>
        <row r="478">
          <cell r="O478">
            <v>0</v>
          </cell>
        </row>
        <row r="479">
          <cell r="O479">
            <v>2526699</v>
          </cell>
        </row>
        <row r="480">
          <cell r="O480">
            <v>14622300</v>
          </cell>
        </row>
        <row r="481">
          <cell r="O481">
            <v>4741455</v>
          </cell>
        </row>
        <row r="482">
          <cell r="O482">
            <v>9426550</v>
          </cell>
        </row>
        <row r="483">
          <cell r="O483">
            <v>14166600</v>
          </cell>
        </row>
        <row r="484">
          <cell r="O484">
            <v>1998304</v>
          </cell>
        </row>
        <row r="485">
          <cell r="O485">
            <v>3210736</v>
          </cell>
        </row>
        <row r="486">
          <cell r="O486">
            <v>5104160</v>
          </cell>
        </row>
        <row r="487">
          <cell r="O487">
            <v>3674640</v>
          </cell>
        </row>
        <row r="489">
          <cell r="O489">
            <v>26437380</v>
          </cell>
        </row>
        <row r="490">
          <cell r="O490">
            <v>75398140</v>
          </cell>
        </row>
        <row r="491">
          <cell r="O491">
            <v>6996180</v>
          </cell>
        </row>
        <row r="492">
          <cell r="O492">
            <v>1885310</v>
          </cell>
        </row>
        <row r="493">
          <cell r="O493">
            <v>1294020</v>
          </cell>
        </row>
        <row r="494">
          <cell r="O494">
            <v>2274560</v>
          </cell>
        </row>
        <row r="495">
          <cell r="O495">
            <v>17708250</v>
          </cell>
        </row>
        <row r="496">
          <cell r="O496">
            <v>14432600</v>
          </cell>
        </row>
        <row r="498">
          <cell r="O498">
            <v>20328396</v>
          </cell>
        </row>
        <row r="499">
          <cell r="O499">
            <v>11307645.800000001</v>
          </cell>
        </row>
        <row r="500">
          <cell r="O500">
            <v>45663904</v>
          </cell>
        </row>
        <row r="501">
          <cell r="O501">
            <v>4932840</v>
          </cell>
        </row>
        <row r="502">
          <cell r="O502">
            <v>39049846</v>
          </cell>
        </row>
        <row r="509">
          <cell r="O509">
            <v>41355510</v>
          </cell>
        </row>
        <row r="510">
          <cell r="O510">
            <v>0</v>
          </cell>
        </row>
        <row r="511">
          <cell r="O511">
            <v>39963666.75</v>
          </cell>
        </row>
        <row r="512">
          <cell r="O512">
            <v>159892002.59999999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8380960</v>
          </cell>
        </row>
        <row r="516">
          <cell r="O516">
            <v>15662940</v>
          </cell>
        </row>
        <row r="521">
          <cell r="O521">
            <v>56266000</v>
          </cell>
        </row>
        <row r="522">
          <cell r="O522">
            <v>0</v>
          </cell>
        </row>
        <row r="523">
          <cell r="O523">
            <v>28050560</v>
          </cell>
        </row>
        <row r="524">
          <cell r="O524">
            <v>26476500</v>
          </cell>
        </row>
        <row r="525">
          <cell r="O525">
            <v>122078490</v>
          </cell>
        </row>
        <row r="526">
          <cell r="O526">
            <v>45367210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13" Type="http://schemas.openxmlformats.org/officeDocument/2006/relationships/oleObject" Target="../embeddings/oleObject11.bin"/><Relationship Id="rId18" Type="http://schemas.openxmlformats.org/officeDocument/2006/relationships/oleObject" Target="../embeddings/oleObject16.bin"/><Relationship Id="rId26" Type="http://schemas.openxmlformats.org/officeDocument/2006/relationships/oleObject" Target="../embeddings/oleObject24.bin"/><Relationship Id="rId3" Type="http://schemas.openxmlformats.org/officeDocument/2006/relationships/vmlDrawing" Target="../drawings/vmlDrawing2.vml"/><Relationship Id="rId21" Type="http://schemas.openxmlformats.org/officeDocument/2006/relationships/oleObject" Target="../embeddings/oleObject19.bin"/><Relationship Id="rId7" Type="http://schemas.openxmlformats.org/officeDocument/2006/relationships/oleObject" Target="../embeddings/oleObject5.bin"/><Relationship Id="rId12" Type="http://schemas.openxmlformats.org/officeDocument/2006/relationships/oleObject" Target="../embeddings/oleObject10.bin"/><Relationship Id="rId17" Type="http://schemas.openxmlformats.org/officeDocument/2006/relationships/oleObject" Target="../embeddings/oleObject15.bin"/><Relationship Id="rId25" Type="http://schemas.openxmlformats.org/officeDocument/2006/relationships/oleObject" Target="../embeddings/oleObject23.bin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14.bin"/><Relationship Id="rId20" Type="http://schemas.openxmlformats.org/officeDocument/2006/relationships/oleObject" Target="../embeddings/oleObject18.bin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4.bin"/><Relationship Id="rId11" Type="http://schemas.openxmlformats.org/officeDocument/2006/relationships/oleObject" Target="../embeddings/oleObject9.bin"/><Relationship Id="rId24" Type="http://schemas.openxmlformats.org/officeDocument/2006/relationships/oleObject" Target="../embeddings/oleObject22.bin"/><Relationship Id="rId5" Type="http://schemas.openxmlformats.org/officeDocument/2006/relationships/image" Target="../media/image7.wmf"/><Relationship Id="rId15" Type="http://schemas.openxmlformats.org/officeDocument/2006/relationships/oleObject" Target="../embeddings/oleObject13.bin"/><Relationship Id="rId23" Type="http://schemas.openxmlformats.org/officeDocument/2006/relationships/oleObject" Target="../embeddings/oleObject21.bin"/><Relationship Id="rId28" Type="http://schemas.openxmlformats.org/officeDocument/2006/relationships/oleObject" Target="../embeddings/oleObject26.bin"/><Relationship Id="rId10" Type="http://schemas.openxmlformats.org/officeDocument/2006/relationships/oleObject" Target="../embeddings/oleObject8.bin"/><Relationship Id="rId19" Type="http://schemas.openxmlformats.org/officeDocument/2006/relationships/oleObject" Target="../embeddings/oleObject17.bin"/><Relationship Id="rId4" Type="http://schemas.openxmlformats.org/officeDocument/2006/relationships/oleObject" Target="../embeddings/oleObject3.bin"/><Relationship Id="rId9" Type="http://schemas.openxmlformats.org/officeDocument/2006/relationships/oleObject" Target="../embeddings/oleObject7.bin"/><Relationship Id="rId14" Type="http://schemas.openxmlformats.org/officeDocument/2006/relationships/oleObject" Target="../embeddings/oleObject12.bin"/><Relationship Id="rId22" Type="http://schemas.openxmlformats.org/officeDocument/2006/relationships/oleObject" Target="../embeddings/oleObject20.bin"/><Relationship Id="rId27" Type="http://schemas.openxmlformats.org/officeDocument/2006/relationships/oleObject" Target="../embeddings/oleObject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outlinePr summaryBelow="0" summaryRight="0"/>
  </sheetPr>
  <dimension ref="B1:Q74"/>
  <sheetViews>
    <sheetView view="pageBreakPreview" zoomScale="70" zoomScaleNormal="90" zoomScaleSheetLayoutView="70" workbookViewId="0">
      <selection activeCell="G63" sqref="G63"/>
    </sheetView>
  </sheetViews>
  <sheetFormatPr defaultColWidth="9.21875" defaultRowHeight="15.6"/>
  <cols>
    <col min="1" max="1" width="4.5546875" style="333" customWidth="1"/>
    <col min="2" max="2" width="5.21875" style="333" customWidth="1"/>
    <col min="3" max="3" width="5.21875" style="332" customWidth="1"/>
    <col min="4" max="4" width="10" style="333" customWidth="1"/>
    <col min="5" max="5" width="2.77734375" style="333" customWidth="1"/>
    <col min="6" max="6" width="36.5546875" style="333" customWidth="1"/>
    <col min="7" max="7" width="11.44140625" style="333" bestFit="1" customWidth="1"/>
    <col min="8" max="8" width="7.44140625" style="333" bestFit="1" customWidth="1"/>
    <col min="9" max="9" width="19.44140625" style="333" customWidth="1" collapsed="1"/>
    <col min="10" max="11" width="21.44140625" style="333" bestFit="1" customWidth="1"/>
    <col min="12" max="12" width="19.44140625" style="333" customWidth="1"/>
    <col min="13" max="13" width="16.44140625" style="333" bestFit="1" customWidth="1"/>
    <col min="14" max="14" width="16" style="333" bestFit="1" customWidth="1"/>
    <col min="15" max="15" width="9.21875" style="333"/>
    <col min="16" max="16" width="16.44140625" style="333" bestFit="1" customWidth="1"/>
    <col min="17" max="17" width="16" style="333" bestFit="1" customWidth="1"/>
    <col min="18" max="16384" width="9.21875" style="333"/>
  </cols>
  <sheetData>
    <row r="1" spans="2:12" s="160" customFormat="1" ht="62.25" customHeight="1">
      <c r="B1" s="1193" t="s">
        <v>522</v>
      </c>
      <c r="C1" s="1193"/>
      <c r="D1" s="1193"/>
      <c r="E1" s="1193"/>
      <c r="F1" s="1193"/>
      <c r="G1" s="1193"/>
      <c r="H1" s="1193"/>
      <c r="I1" s="1193"/>
      <c r="J1" s="1193"/>
      <c r="K1" s="1193"/>
      <c r="L1" s="572"/>
    </row>
    <row r="2" spans="2:12" ht="16.2" thickBot="1">
      <c r="B2" s="185"/>
      <c r="C2" s="573"/>
      <c r="D2" s="185"/>
      <c r="E2" s="270"/>
      <c r="F2" s="160"/>
      <c r="G2" s="185"/>
      <c r="H2" s="574"/>
      <c r="I2" s="185"/>
      <c r="L2" s="572"/>
    </row>
    <row r="3" spans="2:12" s="184" customFormat="1" ht="28.5" customHeight="1" thickTop="1">
      <c r="B3" s="522" t="s">
        <v>0</v>
      </c>
      <c r="C3" s="1194" t="s">
        <v>24</v>
      </c>
      <c r="D3" s="1195"/>
      <c r="E3" s="1195"/>
      <c r="F3" s="1196"/>
      <c r="G3" s="575" t="s">
        <v>1</v>
      </c>
      <c r="H3" s="576" t="s">
        <v>523</v>
      </c>
      <c r="I3" s="577" t="s">
        <v>72</v>
      </c>
      <c r="J3" s="523" t="s">
        <v>524</v>
      </c>
      <c r="K3" s="523" t="s">
        <v>525</v>
      </c>
      <c r="L3" s="578"/>
    </row>
    <row r="4" spans="2:12" ht="16.2" thickBot="1">
      <c r="B4" s="579" t="s">
        <v>9</v>
      </c>
      <c r="C4" s="1197" t="s">
        <v>10</v>
      </c>
      <c r="D4" s="1198"/>
      <c r="E4" s="1198"/>
      <c r="F4" s="1199"/>
      <c r="G4" s="580" t="s">
        <v>11</v>
      </c>
      <c r="H4" s="581" t="s">
        <v>12</v>
      </c>
      <c r="I4" s="582" t="s">
        <v>13</v>
      </c>
      <c r="J4" s="583" t="s">
        <v>14</v>
      </c>
      <c r="K4" s="583" t="s">
        <v>15</v>
      </c>
      <c r="L4" s="584"/>
    </row>
    <row r="5" spans="2:12" ht="16.2" thickTop="1">
      <c r="B5" s="527"/>
      <c r="C5" s="585"/>
      <c r="D5" s="529"/>
      <c r="E5" s="529"/>
      <c r="F5" s="586"/>
      <c r="G5" s="587"/>
      <c r="H5" s="588"/>
      <c r="I5" s="589"/>
      <c r="J5" s="590"/>
      <c r="K5" s="590"/>
      <c r="L5" s="591"/>
    </row>
    <row r="6" spans="2:12">
      <c r="B6" s="592" t="s">
        <v>2</v>
      </c>
      <c r="C6" s="593" t="s">
        <v>526</v>
      </c>
      <c r="D6" s="594"/>
      <c r="E6" s="544"/>
      <c r="F6" s="595"/>
      <c r="G6" s="596"/>
      <c r="H6" s="597"/>
      <c r="I6" s="334"/>
      <c r="J6" s="598"/>
      <c r="K6" s="598"/>
      <c r="L6" s="591">
        <f>K10</f>
        <v>0</v>
      </c>
    </row>
    <row r="7" spans="2:12">
      <c r="B7" s="599"/>
      <c r="C7" s="600" t="s">
        <v>527</v>
      </c>
      <c r="D7" s="601" t="s">
        <v>528</v>
      </c>
      <c r="E7" s="544"/>
      <c r="F7" s="595"/>
      <c r="G7" s="596">
        <v>1</v>
      </c>
      <c r="H7" s="597" t="s">
        <v>22</v>
      </c>
      <c r="I7" s="334">
        <v>4500000</v>
      </c>
      <c r="J7" s="598">
        <f>G7*I7</f>
        <v>4500000</v>
      </c>
      <c r="K7" s="598"/>
      <c r="L7" s="591"/>
    </row>
    <row r="8" spans="2:12">
      <c r="B8" s="599"/>
      <c r="C8" s="600" t="s">
        <v>529</v>
      </c>
      <c r="D8" s="601" t="s">
        <v>530</v>
      </c>
      <c r="E8" s="544"/>
      <c r="F8" s="595"/>
      <c r="G8" s="596">
        <v>1</v>
      </c>
      <c r="H8" s="597" t="s">
        <v>22</v>
      </c>
      <c r="I8" s="334">
        <v>4500000</v>
      </c>
      <c r="J8" s="598">
        <f>G8*I8</f>
        <v>4500000</v>
      </c>
      <c r="K8" s="598"/>
      <c r="L8" s="591"/>
    </row>
    <row r="9" spans="2:12">
      <c r="B9" s="599"/>
      <c r="C9" s="600"/>
      <c r="D9" s="601"/>
      <c r="E9" s="602"/>
      <c r="F9" s="603"/>
      <c r="G9" s="596"/>
      <c r="H9" s="597"/>
      <c r="I9" s="604"/>
      <c r="J9" s="605"/>
      <c r="K9" s="605"/>
      <c r="L9" s="591"/>
    </row>
    <row r="10" spans="2:12" ht="17.100000000000001" customHeight="1">
      <c r="B10" s="606"/>
      <c r="C10" s="607"/>
      <c r="D10" s="607"/>
      <c r="E10" s="608"/>
      <c r="F10" s="608"/>
      <c r="G10" s="609"/>
      <c r="H10" s="610"/>
      <c r="I10" s="611" t="s">
        <v>44</v>
      </c>
      <c r="J10" s="612">
        <f>SUM(J7:J9)</f>
        <v>9000000</v>
      </c>
      <c r="K10" s="612"/>
      <c r="L10" s="591"/>
    </row>
    <row r="11" spans="2:12">
      <c r="B11" s="592" t="s">
        <v>16</v>
      </c>
      <c r="C11" s="593" t="s">
        <v>531</v>
      </c>
      <c r="D11" s="594"/>
      <c r="E11" s="544"/>
      <c r="F11" s="613"/>
      <c r="G11" s="596"/>
      <c r="H11" s="614"/>
      <c r="I11" s="615"/>
      <c r="J11" s="616"/>
      <c r="K11" s="616"/>
      <c r="L11" s="591"/>
    </row>
    <row r="12" spans="2:12">
      <c r="B12" s="599"/>
      <c r="C12" s="600" t="s">
        <v>527</v>
      </c>
      <c r="D12" s="601" t="s">
        <v>532</v>
      </c>
      <c r="E12" s="544"/>
      <c r="F12" s="613"/>
      <c r="G12" s="596">
        <v>5</v>
      </c>
      <c r="H12" s="597" t="s">
        <v>533</v>
      </c>
      <c r="I12" s="334">
        <v>500000</v>
      </c>
      <c r="J12" s="598">
        <f>G12*I12</f>
        <v>2500000</v>
      </c>
      <c r="K12" s="598"/>
      <c r="L12" s="591"/>
    </row>
    <row r="13" spans="2:12">
      <c r="B13" s="599"/>
      <c r="C13" s="600"/>
      <c r="D13" s="601"/>
      <c r="E13" s="544"/>
      <c r="F13" s="613"/>
      <c r="G13" s="596"/>
      <c r="H13" s="597"/>
      <c r="I13" s="334"/>
      <c r="J13" s="598"/>
      <c r="K13" s="598"/>
      <c r="L13" s="591"/>
    </row>
    <row r="14" spans="2:12" ht="17.100000000000001" customHeight="1">
      <c r="B14" s="606"/>
      <c r="C14" s="607"/>
      <c r="D14" s="607"/>
      <c r="E14" s="608"/>
      <c r="F14" s="608"/>
      <c r="G14" s="609"/>
      <c r="H14" s="610"/>
      <c r="I14" s="611" t="s">
        <v>45</v>
      </c>
      <c r="J14" s="612">
        <f>SUM(J12:J13)</f>
        <v>2500000</v>
      </c>
      <c r="K14" s="612"/>
      <c r="L14" s="591"/>
    </row>
    <row r="15" spans="2:12">
      <c r="B15" s="592" t="s">
        <v>17</v>
      </c>
      <c r="C15" s="593" t="s">
        <v>534</v>
      </c>
      <c r="D15" s="594"/>
      <c r="E15" s="544"/>
      <c r="F15" s="613"/>
      <c r="G15" s="596"/>
      <c r="H15" s="597"/>
      <c r="I15" s="334"/>
      <c r="J15" s="598"/>
      <c r="K15" s="598"/>
      <c r="L15" s="591"/>
    </row>
    <row r="16" spans="2:12">
      <c r="B16" s="599"/>
      <c r="C16" s="593" t="s">
        <v>527</v>
      </c>
      <c r="D16" s="594" t="s">
        <v>535</v>
      </c>
      <c r="E16" s="544"/>
      <c r="F16" s="613"/>
      <c r="G16" s="596"/>
      <c r="H16" s="597"/>
      <c r="I16" s="334"/>
      <c r="J16" s="598"/>
      <c r="K16" s="598"/>
      <c r="L16" s="591"/>
    </row>
    <row r="17" spans="2:16">
      <c r="B17" s="599"/>
      <c r="C17" s="593" t="s">
        <v>529</v>
      </c>
      <c r="D17" s="594" t="s">
        <v>536</v>
      </c>
      <c r="E17" s="544"/>
      <c r="F17" s="613"/>
      <c r="G17" s="596"/>
      <c r="H17" s="597"/>
      <c r="I17" s="334"/>
      <c r="J17" s="598"/>
      <c r="K17" s="598"/>
      <c r="L17" s="591"/>
    </row>
    <row r="18" spans="2:16">
      <c r="B18" s="599"/>
      <c r="C18" s="600">
        <v>1</v>
      </c>
      <c r="D18" s="617" t="s">
        <v>537</v>
      </c>
      <c r="E18" s="544"/>
      <c r="F18" s="613"/>
      <c r="G18" s="596">
        <v>100</v>
      </c>
      <c r="H18" s="597" t="s">
        <v>23</v>
      </c>
      <c r="I18" s="334">
        <v>75000</v>
      </c>
      <c r="J18" s="598">
        <f t="shared" ref="J18:J26" si="0">G18*I18</f>
        <v>7500000</v>
      </c>
      <c r="K18" s="598"/>
      <c r="L18" s="591"/>
    </row>
    <row r="19" spans="2:16">
      <c r="B19" s="599"/>
      <c r="C19" s="600">
        <v>2</v>
      </c>
      <c r="D19" s="617" t="s">
        <v>538</v>
      </c>
      <c r="E19" s="544"/>
      <c r="F19" s="613"/>
      <c r="G19" s="596">
        <v>50</v>
      </c>
      <c r="H19" s="596" t="s">
        <v>23</v>
      </c>
      <c r="I19" s="334">
        <v>35000</v>
      </c>
      <c r="J19" s="598">
        <f t="shared" si="0"/>
        <v>1750000</v>
      </c>
      <c r="K19" s="598"/>
      <c r="L19" s="591"/>
    </row>
    <row r="20" spans="2:16">
      <c r="B20" s="599"/>
      <c r="C20" s="600">
        <v>3</v>
      </c>
      <c r="D20" s="617" t="s">
        <v>539</v>
      </c>
      <c r="E20" s="544"/>
      <c r="F20" s="613"/>
      <c r="G20" s="596">
        <v>25</v>
      </c>
      <c r="H20" s="597" t="s">
        <v>23</v>
      </c>
      <c r="I20" s="334">
        <v>50000</v>
      </c>
      <c r="J20" s="598">
        <f t="shared" si="0"/>
        <v>1250000</v>
      </c>
      <c r="K20" s="598"/>
      <c r="L20" s="591"/>
    </row>
    <row r="21" spans="2:16">
      <c r="B21" s="599"/>
      <c r="C21" s="600">
        <v>4</v>
      </c>
      <c r="D21" s="617" t="s">
        <v>540</v>
      </c>
      <c r="E21" s="544"/>
      <c r="F21" s="613"/>
      <c r="G21" s="596">
        <v>300</v>
      </c>
      <c r="H21" s="597" t="s">
        <v>541</v>
      </c>
      <c r="I21" s="334">
        <v>5500</v>
      </c>
      <c r="J21" s="598">
        <f t="shared" si="0"/>
        <v>1650000</v>
      </c>
      <c r="K21" s="598"/>
      <c r="L21" s="591"/>
    </row>
    <row r="22" spans="2:16">
      <c r="B22" s="599"/>
      <c r="C22" s="600">
        <v>5</v>
      </c>
      <c r="D22" s="617" t="s">
        <v>542</v>
      </c>
      <c r="E22" s="544"/>
      <c r="F22" s="613"/>
      <c r="G22" s="596">
        <v>50</v>
      </c>
      <c r="H22" s="597" t="s">
        <v>543</v>
      </c>
      <c r="I22" s="334">
        <v>175000</v>
      </c>
      <c r="J22" s="598">
        <f t="shared" si="0"/>
        <v>8750000</v>
      </c>
      <c r="K22" s="598"/>
      <c r="L22" s="591"/>
    </row>
    <row r="23" spans="2:16">
      <c r="B23" s="599"/>
      <c r="C23" s="600">
        <v>6</v>
      </c>
      <c r="D23" s="617" t="s">
        <v>544</v>
      </c>
      <c r="E23" s="544"/>
      <c r="F23" s="613"/>
      <c r="G23" s="596">
        <v>50</v>
      </c>
      <c r="H23" s="597" t="s">
        <v>543</v>
      </c>
      <c r="I23" s="334">
        <v>700000</v>
      </c>
      <c r="J23" s="598">
        <f t="shared" si="0"/>
        <v>35000000</v>
      </c>
      <c r="K23" s="598"/>
      <c r="L23" s="591"/>
    </row>
    <row r="24" spans="2:16">
      <c r="B24" s="599"/>
      <c r="C24" s="600">
        <v>7</v>
      </c>
      <c r="D24" s="617" t="s">
        <v>545</v>
      </c>
      <c r="E24" s="544"/>
      <c r="F24" s="613"/>
      <c r="G24" s="596">
        <v>12</v>
      </c>
      <c r="H24" s="597" t="s">
        <v>23</v>
      </c>
      <c r="I24" s="334">
        <v>250000</v>
      </c>
      <c r="J24" s="598">
        <f t="shared" si="0"/>
        <v>3000000</v>
      </c>
      <c r="K24" s="598"/>
      <c r="L24" s="591"/>
    </row>
    <row r="25" spans="2:16">
      <c r="B25" s="599"/>
      <c r="C25" s="600">
        <v>8</v>
      </c>
      <c r="D25" s="617" t="s">
        <v>546</v>
      </c>
      <c r="E25" s="544"/>
      <c r="F25" s="595"/>
      <c r="G25" s="596">
        <v>100</v>
      </c>
      <c r="H25" s="597" t="s">
        <v>23</v>
      </c>
      <c r="I25" s="334">
        <v>20000</v>
      </c>
      <c r="J25" s="598">
        <f t="shared" si="0"/>
        <v>2000000</v>
      </c>
      <c r="K25" s="598"/>
      <c r="L25" s="591"/>
    </row>
    <row r="26" spans="2:16">
      <c r="B26" s="599"/>
      <c r="C26" s="600">
        <v>9</v>
      </c>
      <c r="D26" s="617" t="s">
        <v>547</v>
      </c>
      <c r="E26" s="544"/>
      <c r="F26" s="595"/>
      <c r="G26" s="596">
        <v>1</v>
      </c>
      <c r="H26" s="597" t="s">
        <v>20</v>
      </c>
      <c r="I26" s="334">
        <v>2000000</v>
      </c>
      <c r="J26" s="598">
        <f t="shared" si="0"/>
        <v>2000000</v>
      </c>
      <c r="K26" s="598"/>
      <c r="L26" s="591"/>
    </row>
    <row r="27" spans="2:16">
      <c r="B27" s="599"/>
      <c r="C27" s="600"/>
      <c r="D27" s="601"/>
      <c r="E27" s="544"/>
      <c r="F27" s="595"/>
      <c r="G27" s="596"/>
      <c r="H27" s="597"/>
      <c r="I27" s="334"/>
      <c r="J27" s="598"/>
      <c r="K27" s="598"/>
      <c r="L27" s="591"/>
    </row>
    <row r="28" spans="2:16" ht="17.100000000000001" customHeight="1">
      <c r="B28" s="606"/>
      <c r="C28" s="607"/>
      <c r="D28" s="607"/>
      <c r="E28" s="608"/>
      <c r="F28" s="608"/>
      <c r="G28" s="609"/>
      <c r="H28" s="610"/>
      <c r="I28" s="611" t="s">
        <v>46</v>
      </c>
      <c r="J28" s="612">
        <f>SUM(J18:J27)</f>
        <v>62900000</v>
      </c>
      <c r="K28" s="612"/>
      <c r="L28" s="591"/>
    </row>
    <row r="29" spans="2:16">
      <c r="B29" s="592" t="s">
        <v>18</v>
      </c>
      <c r="C29" s="593" t="s">
        <v>548</v>
      </c>
      <c r="D29" s="594"/>
      <c r="E29" s="544"/>
      <c r="F29" s="595"/>
      <c r="G29" s="596"/>
      <c r="H29" s="596"/>
      <c r="I29" s="334"/>
      <c r="J29" s="598"/>
      <c r="K29" s="598"/>
      <c r="L29" s="591"/>
    </row>
    <row r="30" spans="2:16">
      <c r="B30" s="599"/>
      <c r="C30" s="600" t="s">
        <v>527</v>
      </c>
      <c r="D30" s="601" t="s">
        <v>549</v>
      </c>
      <c r="E30" s="544"/>
      <c r="F30" s="595"/>
      <c r="G30" s="596">
        <v>1</v>
      </c>
      <c r="H30" s="596" t="s">
        <v>20</v>
      </c>
      <c r="I30" s="334">
        <v>30000000</v>
      </c>
      <c r="J30" s="598">
        <f>G30*I30</f>
        <v>30000000</v>
      </c>
      <c r="K30" s="598"/>
      <c r="L30" s="591"/>
    </row>
    <row r="31" spans="2:16">
      <c r="B31" s="599"/>
      <c r="C31" s="600"/>
      <c r="D31" s="601"/>
      <c r="E31" s="544"/>
      <c r="F31" s="595"/>
      <c r="G31" s="596"/>
      <c r="H31" s="597"/>
      <c r="I31" s="334"/>
      <c r="J31" s="598"/>
      <c r="K31" s="598"/>
      <c r="L31" s="591"/>
      <c r="P31" s="618"/>
    </row>
    <row r="32" spans="2:16" ht="17.100000000000001" customHeight="1">
      <c r="B32" s="606"/>
      <c r="C32" s="607"/>
      <c r="D32" s="607"/>
      <c r="E32" s="608"/>
      <c r="F32" s="608"/>
      <c r="G32" s="609"/>
      <c r="H32" s="610"/>
      <c r="I32" s="611" t="s">
        <v>55</v>
      </c>
      <c r="J32" s="612">
        <f>SUM(J30:J31)</f>
        <v>30000000</v>
      </c>
      <c r="K32" s="612"/>
      <c r="L32" s="591"/>
    </row>
    <row r="33" spans="2:16">
      <c r="B33" s="592" t="s">
        <v>19</v>
      </c>
      <c r="C33" s="593" t="s">
        <v>550</v>
      </c>
      <c r="D33" s="594"/>
      <c r="E33" s="544"/>
      <c r="F33" s="595"/>
      <c r="G33" s="596"/>
      <c r="H33" s="597"/>
      <c r="I33" s="334"/>
      <c r="J33" s="598"/>
      <c r="K33" s="598"/>
      <c r="L33" s="591"/>
      <c r="P33" s="618"/>
    </row>
    <row r="34" spans="2:16" s="684" customFormat="1">
      <c r="B34" s="675"/>
      <c r="C34" s="676" t="s">
        <v>527</v>
      </c>
      <c r="D34" s="677" t="s">
        <v>551</v>
      </c>
      <c r="E34" s="678"/>
      <c r="F34" s="679"/>
      <c r="G34" s="680">
        <v>2</v>
      </c>
      <c r="H34" s="685" t="s">
        <v>552</v>
      </c>
      <c r="I34" s="681">
        <v>4500000</v>
      </c>
      <c r="J34" s="682">
        <f>G34*I34</f>
        <v>9000000</v>
      </c>
      <c r="K34" s="682"/>
      <c r="L34" s="683"/>
      <c r="P34" s="686"/>
    </row>
    <row r="35" spans="2:16">
      <c r="B35" s="599"/>
      <c r="C35" s="600"/>
      <c r="D35" s="601"/>
      <c r="E35" s="544"/>
      <c r="F35" s="595"/>
      <c r="G35" s="596"/>
      <c r="H35" s="597"/>
      <c r="I35" s="334"/>
      <c r="J35" s="598"/>
      <c r="K35" s="598"/>
      <c r="L35" s="591"/>
      <c r="P35" s="618"/>
    </row>
    <row r="36" spans="2:16" ht="17.100000000000001" customHeight="1">
      <c r="B36" s="606"/>
      <c r="C36" s="607"/>
      <c r="D36" s="607"/>
      <c r="E36" s="608"/>
      <c r="F36" s="608"/>
      <c r="G36" s="609"/>
      <c r="H36" s="610"/>
      <c r="I36" s="611" t="s">
        <v>362</v>
      </c>
      <c r="J36" s="612">
        <f>SUM(J34:J35)</f>
        <v>9000000</v>
      </c>
      <c r="K36" s="612"/>
      <c r="L36" s="591"/>
    </row>
    <row r="37" spans="2:16">
      <c r="B37" s="592" t="s">
        <v>404</v>
      </c>
      <c r="C37" s="593" t="s">
        <v>553</v>
      </c>
      <c r="D37" s="594"/>
      <c r="E37" s="544"/>
      <c r="F37" s="595"/>
      <c r="G37" s="596"/>
      <c r="H37" s="597"/>
      <c r="I37" s="334"/>
      <c r="J37" s="598"/>
      <c r="K37" s="598"/>
      <c r="L37" s="591"/>
      <c r="P37" s="618"/>
    </row>
    <row r="38" spans="2:16">
      <c r="B38" s="599"/>
      <c r="C38" s="600" t="s">
        <v>527</v>
      </c>
      <c r="D38" s="601" t="s">
        <v>554</v>
      </c>
      <c r="E38" s="544"/>
      <c r="F38" s="595"/>
      <c r="G38" s="596">
        <v>1</v>
      </c>
      <c r="H38" s="597" t="s">
        <v>20</v>
      </c>
      <c r="I38" s="334">
        <v>2500000</v>
      </c>
      <c r="J38" s="598">
        <f>G38*I38</f>
        <v>2500000</v>
      </c>
      <c r="K38" s="598"/>
      <c r="L38" s="591"/>
      <c r="P38" s="618"/>
    </row>
    <row r="39" spans="2:16">
      <c r="B39" s="599"/>
      <c r="C39" s="600" t="s">
        <v>529</v>
      </c>
      <c r="D39" s="601" t="s">
        <v>555</v>
      </c>
      <c r="E39" s="544"/>
      <c r="F39" s="595"/>
      <c r="G39" s="596">
        <v>1</v>
      </c>
      <c r="H39" s="597" t="s">
        <v>20</v>
      </c>
      <c r="I39" s="334">
        <v>2000000</v>
      </c>
      <c r="J39" s="598">
        <f>G39*I39</f>
        <v>2000000</v>
      </c>
      <c r="K39" s="598"/>
      <c r="L39" s="591"/>
      <c r="P39" s="618"/>
    </row>
    <row r="40" spans="2:16">
      <c r="B40" s="599"/>
      <c r="C40" s="600" t="s">
        <v>557</v>
      </c>
      <c r="D40" s="601" t="s">
        <v>558</v>
      </c>
      <c r="E40" s="544"/>
      <c r="F40" s="595"/>
      <c r="G40" s="596">
        <v>1</v>
      </c>
      <c r="H40" s="597" t="s">
        <v>20</v>
      </c>
      <c r="I40" s="334">
        <v>3000000</v>
      </c>
      <c r="J40" s="598">
        <f>G40*I40</f>
        <v>3000000</v>
      </c>
      <c r="K40" s="598"/>
      <c r="L40" s="591"/>
      <c r="P40" s="618"/>
    </row>
    <row r="41" spans="2:16">
      <c r="B41" s="599"/>
      <c r="C41" s="600"/>
      <c r="D41" s="601"/>
      <c r="E41" s="544"/>
      <c r="F41" s="595"/>
      <c r="G41" s="596"/>
      <c r="H41" s="597"/>
      <c r="I41" s="334"/>
      <c r="J41" s="598"/>
      <c r="K41" s="598"/>
      <c r="L41" s="591"/>
      <c r="P41" s="618"/>
    </row>
    <row r="42" spans="2:16" ht="17.100000000000001" customHeight="1">
      <c r="B42" s="606"/>
      <c r="C42" s="607"/>
      <c r="D42" s="607"/>
      <c r="E42" s="608"/>
      <c r="F42" s="608"/>
      <c r="G42" s="609"/>
      <c r="H42" s="610"/>
      <c r="I42" s="611" t="s">
        <v>559</v>
      </c>
      <c r="J42" s="612">
        <f>SUM(J38:J41)</f>
        <v>7500000</v>
      </c>
      <c r="K42" s="612"/>
      <c r="L42" s="591"/>
    </row>
    <row r="43" spans="2:16">
      <c r="B43" s="592" t="s">
        <v>560</v>
      </c>
      <c r="C43" s="593" t="s">
        <v>561</v>
      </c>
      <c r="D43" s="594"/>
      <c r="E43" s="544"/>
      <c r="F43" s="595"/>
      <c r="G43" s="596"/>
      <c r="H43" s="597"/>
      <c r="I43" s="334"/>
      <c r="J43" s="598"/>
      <c r="K43" s="598"/>
      <c r="L43" s="591"/>
    </row>
    <row r="44" spans="2:16">
      <c r="B44" s="599"/>
      <c r="C44" s="600" t="s">
        <v>527</v>
      </c>
      <c r="D44" s="601" t="s">
        <v>562</v>
      </c>
      <c r="E44" s="544"/>
      <c r="F44" s="595"/>
      <c r="G44" s="596">
        <v>5</v>
      </c>
      <c r="H44" s="597" t="s">
        <v>541</v>
      </c>
      <c r="I44" s="334">
        <v>250000</v>
      </c>
      <c r="J44" s="598">
        <f>G44*I44</f>
        <v>1250000</v>
      </c>
      <c r="K44" s="598"/>
      <c r="L44" s="591"/>
    </row>
    <row r="45" spans="2:16">
      <c r="B45" s="599"/>
      <c r="C45" s="600" t="s">
        <v>529</v>
      </c>
      <c r="D45" s="601" t="s">
        <v>563</v>
      </c>
      <c r="E45" s="544"/>
      <c r="F45" s="595"/>
      <c r="G45" s="596">
        <v>5</v>
      </c>
      <c r="H45" s="597" t="s">
        <v>541</v>
      </c>
      <c r="I45" s="334">
        <v>250000</v>
      </c>
      <c r="J45" s="598">
        <f>G45*I45</f>
        <v>1250000</v>
      </c>
      <c r="K45" s="598"/>
      <c r="L45" s="591"/>
    </row>
    <row r="46" spans="2:16">
      <c r="B46" s="599"/>
      <c r="C46" s="600" t="s">
        <v>557</v>
      </c>
      <c r="D46" s="601" t="s">
        <v>564</v>
      </c>
      <c r="E46" s="544"/>
      <c r="F46" s="595"/>
      <c r="G46" s="596">
        <v>5</v>
      </c>
      <c r="H46" s="597" t="s">
        <v>541</v>
      </c>
      <c r="I46" s="334">
        <v>250000</v>
      </c>
      <c r="J46" s="598">
        <f>G46*I46</f>
        <v>1250000</v>
      </c>
      <c r="K46" s="598"/>
      <c r="L46" s="591"/>
    </row>
    <row r="47" spans="2:16">
      <c r="B47" s="599"/>
      <c r="C47" s="600" t="s">
        <v>565</v>
      </c>
      <c r="D47" s="601" t="s">
        <v>566</v>
      </c>
      <c r="E47" s="544"/>
      <c r="F47" s="595"/>
      <c r="G47" s="596">
        <v>5</v>
      </c>
      <c r="H47" s="597" t="s">
        <v>541</v>
      </c>
      <c r="I47" s="334">
        <v>250000</v>
      </c>
      <c r="J47" s="598">
        <f>G47*I47</f>
        <v>1250000</v>
      </c>
      <c r="K47" s="598"/>
      <c r="L47" s="591"/>
    </row>
    <row r="48" spans="2:16">
      <c r="B48" s="599"/>
      <c r="C48" s="600"/>
      <c r="D48" s="601"/>
      <c r="E48" s="544"/>
      <c r="F48" s="595"/>
      <c r="G48" s="596"/>
      <c r="H48" s="597"/>
      <c r="I48" s="334"/>
      <c r="J48" s="598"/>
      <c r="K48" s="598"/>
      <c r="L48" s="591"/>
    </row>
    <row r="49" spans="2:17" ht="17.100000000000001" customHeight="1">
      <c r="B49" s="606"/>
      <c r="C49" s="607"/>
      <c r="D49" s="607"/>
      <c r="E49" s="608"/>
      <c r="F49" s="608"/>
      <c r="G49" s="609"/>
      <c r="H49" s="610"/>
      <c r="I49" s="611" t="s">
        <v>567</v>
      </c>
      <c r="J49" s="612">
        <f>SUM(J44:J48)</f>
        <v>5000000</v>
      </c>
      <c r="K49" s="612"/>
      <c r="L49" s="591"/>
    </row>
    <row r="50" spans="2:17">
      <c r="B50" s="592" t="s">
        <v>568</v>
      </c>
      <c r="C50" s="593" t="s">
        <v>569</v>
      </c>
      <c r="D50" s="594"/>
      <c r="E50" s="544"/>
      <c r="F50" s="595"/>
      <c r="G50" s="596"/>
      <c r="H50" s="596"/>
      <c r="I50" s="334"/>
      <c r="J50" s="598"/>
      <c r="K50" s="598"/>
      <c r="L50" s="591"/>
    </row>
    <row r="51" spans="2:17" s="684" customFormat="1">
      <c r="B51" s="675"/>
      <c r="C51" s="676" t="s">
        <v>527</v>
      </c>
      <c r="D51" s="677" t="s">
        <v>570</v>
      </c>
      <c r="E51" s="678"/>
      <c r="F51" s="679"/>
      <c r="G51" s="680">
        <v>1</v>
      </c>
      <c r="H51" s="680" t="s">
        <v>20</v>
      </c>
      <c r="I51" s="681">
        <v>5000000</v>
      </c>
      <c r="J51" s="682">
        <f>G51*I51</f>
        <v>5000000</v>
      </c>
      <c r="K51" s="682"/>
      <c r="L51" s="683"/>
    </row>
    <row r="52" spans="2:17">
      <c r="B52" s="599"/>
      <c r="C52" s="600"/>
      <c r="D52" s="601"/>
      <c r="E52" s="544"/>
      <c r="F52" s="595"/>
      <c r="G52" s="596"/>
      <c r="H52" s="597"/>
      <c r="I52" s="334"/>
      <c r="J52" s="598"/>
      <c r="K52" s="598"/>
      <c r="L52" s="591"/>
    </row>
    <row r="53" spans="2:17" ht="17.100000000000001" customHeight="1">
      <c r="B53" s="606"/>
      <c r="C53" s="607"/>
      <c r="D53" s="607"/>
      <c r="E53" s="608"/>
      <c r="F53" s="608"/>
      <c r="G53" s="609"/>
      <c r="H53" s="610"/>
      <c r="I53" s="611" t="s">
        <v>571</v>
      </c>
      <c r="J53" s="612">
        <f>SUM(J51:J52)</f>
        <v>5000000</v>
      </c>
      <c r="K53" s="612"/>
      <c r="L53" s="591"/>
    </row>
    <row r="54" spans="2:17">
      <c r="B54" s="592" t="s">
        <v>572</v>
      </c>
      <c r="C54" s="593" t="s">
        <v>573</v>
      </c>
      <c r="D54" s="594"/>
      <c r="E54" s="544"/>
      <c r="F54" s="595"/>
      <c r="G54" s="596"/>
      <c r="H54" s="597"/>
      <c r="I54" s="334"/>
      <c r="J54" s="598"/>
      <c r="K54" s="598"/>
      <c r="L54" s="591"/>
    </row>
    <row r="55" spans="2:17">
      <c r="B55" s="599"/>
      <c r="C55" s="600" t="s">
        <v>527</v>
      </c>
      <c r="D55" s="601" t="s">
        <v>574</v>
      </c>
      <c r="E55" s="544"/>
      <c r="F55" s="595"/>
      <c r="G55" s="596">
        <v>3</v>
      </c>
      <c r="H55" s="597" t="s">
        <v>541</v>
      </c>
      <c r="I55" s="334">
        <v>80000</v>
      </c>
      <c r="J55" s="598">
        <f>G55*I55</f>
        <v>240000</v>
      </c>
      <c r="K55" s="598"/>
      <c r="L55" s="591"/>
    </row>
    <row r="56" spans="2:17">
      <c r="B56" s="599"/>
      <c r="C56" s="600"/>
      <c r="D56" s="601"/>
      <c r="E56" s="544"/>
      <c r="F56" s="595"/>
      <c r="G56" s="596"/>
      <c r="H56" s="597"/>
      <c r="I56" s="334"/>
      <c r="J56" s="598"/>
      <c r="K56" s="598"/>
      <c r="L56" s="591"/>
      <c r="Q56" s="333">
        <v>1</v>
      </c>
    </row>
    <row r="57" spans="2:17" ht="17.100000000000001" customHeight="1">
      <c r="B57" s="606"/>
      <c r="C57" s="607"/>
      <c r="D57" s="607"/>
      <c r="E57" s="608"/>
      <c r="F57" s="608"/>
      <c r="G57" s="609"/>
      <c r="H57" s="610"/>
      <c r="I57" s="611" t="s">
        <v>575</v>
      </c>
      <c r="J57" s="612">
        <f>SUM(J55:J56)</f>
        <v>240000</v>
      </c>
      <c r="K57" s="612"/>
      <c r="L57" s="591"/>
    </row>
    <row r="58" spans="2:17">
      <c r="B58" s="592" t="s">
        <v>576</v>
      </c>
      <c r="C58" s="593" t="s">
        <v>556</v>
      </c>
      <c r="D58" s="594"/>
      <c r="E58" s="544"/>
      <c r="F58" s="595"/>
      <c r="G58" s="596"/>
      <c r="H58" s="597"/>
      <c r="I58" s="334"/>
      <c r="J58" s="598"/>
      <c r="K58" s="598"/>
      <c r="L58" s="591"/>
    </row>
    <row r="59" spans="2:17">
      <c r="B59" s="599"/>
      <c r="C59" s="600" t="s">
        <v>527</v>
      </c>
      <c r="D59" s="601" t="s">
        <v>577</v>
      </c>
      <c r="E59" s="544"/>
      <c r="F59" s="595"/>
      <c r="G59" s="596">
        <v>3</v>
      </c>
      <c r="H59" s="597" t="s">
        <v>23</v>
      </c>
      <c r="I59" s="334">
        <v>900000</v>
      </c>
      <c r="J59" s="598">
        <f>G59*I59</f>
        <v>2700000</v>
      </c>
      <c r="K59" s="598"/>
      <c r="L59" s="591"/>
    </row>
    <row r="60" spans="2:17">
      <c r="B60" s="599"/>
      <c r="C60" s="600" t="s">
        <v>529</v>
      </c>
      <c r="D60" s="601" t="s">
        <v>578</v>
      </c>
      <c r="E60" s="544"/>
      <c r="F60" s="595"/>
      <c r="G60" s="596">
        <v>1</v>
      </c>
      <c r="H60" s="597" t="s">
        <v>20</v>
      </c>
      <c r="I60" s="334">
        <v>1500000</v>
      </c>
      <c r="J60" s="598">
        <f>G60*I60</f>
        <v>1500000</v>
      </c>
      <c r="K60" s="598"/>
      <c r="L60" s="591"/>
    </row>
    <row r="61" spans="2:17">
      <c r="B61" s="599"/>
      <c r="C61" s="600" t="s">
        <v>557</v>
      </c>
      <c r="D61" s="601" t="s">
        <v>579</v>
      </c>
      <c r="E61" s="544"/>
      <c r="F61" s="595"/>
      <c r="G61" s="596">
        <v>100</v>
      </c>
      <c r="H61" s="597" t="s">
        <v>580</v>
      </c>
      <c r="I61" s="334">
        <v>15000</v>
      </c>
      <c r="J61" s="598">
        <f>G61*I61</f>
        <v>1500000</v>
      </c>
      <c r="K61" s="598"/>
      <c r="L61" s="591"/>
    </row>
    <row r="62" spans="2:17">
      <c r="B62" s="599"/>
      <c r="C62" s="600"/>
      <c r="D62" s="601"/>
      <c r="E62" s="544"/>
      <c r="F62" s="595"/>
      <c r="G62" s="596"/>
      <c r="H62" s="597"/>
      <c r="I62" s="334"/>
      <c r="J62" s="598"/>
      <c r="K62" s="598"/>
      <c r="L62" s="591"/>
      <c r="Q62" s="333">
        <v>1</v>
      </c>
    </row>
    <row r="63" spans="2:17" ht="17.100000000000001" customHeight="1">
      <c r="B63" s="606"/>
      <c r="C63" s="607"/>
      <c r="D63" s="607"/>
      <c r="E63" s="608"/>
      <c r="F63" s="608"/>
      <c r="G63" s="609"/>
      <c r="H63" s="610"/>
      <c r="I63" s="611" t="s">
        <v>575</v>
      </c>
      <c r="J63" s="612">
        <f>SUM(J59:J62)</f>
        <v>5700000</v>
      </c>
      <c r="K63" s="612"/>
      <c r="L63" s="591"/>
    </row>
    <row r="64" spans="2:17" ht="24.75" customHeight="1">
      <c r="B64" s="619"/>
      <c r="C64" s="620"/>
      <c r="D64" s="608"/>
      <c r="E64" s="608"/>
      <c r="F64" s="608"/>
      <c r="G64" s="609"/>
      <c r="H64" s="610"/>
      <c r="I64" s="620" t="s">
        <v>342</v>
      </c>
      <c r="J64" s="612">
        <f>SUM(J6:J63)/2</f>
        <v>136840000</v>
      </c>
      <c r="K64" s="612"/>
      <c r="L64" s="621"/>
    </row>
    <row r="67" spans="9:12">
      <c r="I67" s="622"/>
      <c r="J67" s="622"/>
      <c r="K67" s="622"/>
      <c r="L67" s="622"/>
    </row>
    <row r="68" spans="9:12">
      <c r="I68" s="622"/>
      <c r="J68" s="622"/>
      <c r="K68" s="622"/>
      <c r="L68" s="622"/>
    </row>
    <row r="69" spans="9:12">
      <c r="I69" s="622"/>
      <c r="J69" s="622"/>
      <c r="K69" s="622"/>
      <c r="L69" s="622"/>
    </row>
    <row r="70" spans="9:12">
      <c r="I70" s="622"/>
      <c r="J70" s="622"/>
      <c r="K70" s="622"/>
      <c r="L70" s="622"/>
    </row>
    <row r="71" spans="9:12">
      <c r="I71" s="622"/>
      <c r="J71" s="622"/>
      <c r="K71" s="622"/>
      <c r="L71" s="622"/>
    </row>
    <row r="72" spans="9:12">
      <c r="I72" s="622"/>
      <c r="J72" s="622"/>
      <c r="K72" s="622"/>
      <c r="L72" s="622"/>
    </row>
    <row r="73" spans="9:12">
      <c r="I73" s="622"/>
      <c r="J73" s="622"/>
      <c r="K73" s="622"/>
      <c r="L73" s="622"/>
    </row>
    <row r="74" spans="9:12">
      <c r="I74" s="622"/>
      <c r="J74" s="622"/>
      <c r="K74" s="622"/>
      <c r="L74" s="622"/>
    </row>
  </sheetData>
  <mergeCells count="3">
    <mergeCell ref="B1:K1"/>
    <mergeCell ref="C3:F3"/>
    <mergeCell ref="C4:F4"/>
  </mergeCells>
  <printOptions horizontalCentered="1"/>
  <pageMargins left="0.59055118110236227" right="0.39370078740157483" top="0.59055118110236227" bottom="0.59055118110236227" header="0.31496062992125984" footer="0.31496062992125984"/>
  <pageSetup paperSize="9" scale="58" orientation="portrait" r:id="rId1"/>
  <headerFooter>
    <oddFooter>&amp;C&amp;P/&amp;N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  <outlinePr summaryBelow="0" summaryRight="0"/>
  </sheetPr>
  <dimension ref="B3:T295"/>
  <sheetViews>
    <sheetView view="pageBreakPreview" topLeftCell="A141" zoomScale="85" zoomScaleNormal="100" zoomScaleSheetLayoutView="85" workbookViewId="0">
      <selection activeCell="G63" sqref="G63"/>
    </sheetView>
  </sheetViews>
  <sheetFormatPr defaultColWidth="9.21875" defaultRowHeight="15.6"/>
  <cols>
    <col min="1" max="1" width="9.21875" style="31"/>
    <col min="2" max="2" width="4.5546875" style="24" customWidth="1"/>
    <col min="3" max="4" width="4.77734375" style="75" customWidth="1"/>
    <col min="5" max="5" width="10.21875" style="25" customWidth="1"/>
    <col min="6" max="6" width="2" style="24" customWidth="1"/>
    <col min="7" max="7" width="28.77734375" style="26" customWidth="1"/>
    <col min="8" max="8" width="10.21875" style="402" customWidth="1"/>
    <col min="9" max="9" width="3.21875" style="80" customWidth="1"/>
    <col min="10" max="10" width="10.21875" style="62" customWidth="1"/>
    <col min="11" max="11" width="3.21875" style="80" customWidth="1"/>
    <col min="12" max="12" width="10.21875" style="62" customWidth="1"/>
    <col min="13" max="13" width="3.21875" style="80" customWidth="1"/>
    <col min="14" max="14" width="10.21875" style="62" customWidth="1"/>
    <col min="15" max="15" width="3.21875" style="80" customWidth="1"/>
    <col min="16" max="16" width="10.77734375" style="63" customWidth="1"/>
    <col min="17" max="17" width="5.77734375" style="62" customWidth="1"/>
    <col min="18" max="18" width="10.77734375" style="43" customWidth="1"/>
    <col min="19" max="19" width="7.21875" style="69" customWidth="1"/>
    <col min="20" max="16384" width="9.21875" style="31"/>
  </cols>
  <sheetData>
    <row r="3" spans="2:19" s="30" customFormat="1" ht="26.25" customHeight="1">
      <c r="B3" s="1233" t="s">
        <v>389</v>
      </c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1233"/>
      <c r="R3" s="1233"/>
      <c r="S3" s="1233"/>
    </row>
    <row r="4" spans="2:19" s="30" customFormat="1" ht="16.350000000000001" customHeight="1">
      <c r="B4" s="388"/>
      <c r="C4" s="388"/>
      <c r="D4" s="388"/>
      <c r="E4" s="388"/>
      <c r="F4" s="388"/>
      <c r="G4" s="388"/>
      <c r="H4" s="395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</row>
    <row r="5" spans="2:19" s="30" customFormat="1" ht="15" customHeight="1">
      <c r="B5" s="388"/>
      <c r="C5" s="388"/>
      <c r="D5" s="388"/>
      <c r="E5" s="388"/>
      <c r="F5" s="388"/>
      <c r="G5" s="388"/>
      <c r="H5" s="395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2:19" s="30" customFormat="1" ht="19.8" customHeight="1">
      <c r="B6" s="105" t="s">
        <v>384</v>
      </c>
      <c r="C6" s="3"/>
      <c r="D6" s="149"/>
      <c r="E6" s="2"/>
      <c r="F6" s="105" t="s">
        <v>26</v>
      </c>
      <c r="G6" s="105" t="s">
        <v>380</v>
      </c>
      <c r="H6" s="396"/>
      <c r="I6" s="76"/>
      <c r="J6" s="49"/>
      <c r="K6" s="76"/>
      <c r="L6" s="49"/>
      <c r="M6" s="76"/>
      <c r="N6" s="49"/>
      <c r="O6" s="76"/>
      <c r="P6" s="49"/>
      <c r="Q6" s="50"/>
      <c r="R6" s="28"/>
      <c r="S6" s="20"/>
    </row>
    <row r="7" spans="2:19" s="1" customFormat="1" ht="19.8" customHeight="1">
      <c r="B7" s="3" t="s">
        <v>385</v>
      </c>
      <c r="C7" s="3"/>
      <c r="D7" s="149"/>
      <c r="E7" s="2"/>
      <c r="F7" s="105" t="s">
        <v>26</v>
      </c>
      <c r="G7" s="105" t="s">
        <v>377</v>
      </c>
      <c r="H7" s="397"/>
      <c r="I7" s="52"/>
      <c r="J7" s="51"/>
      <c r="K7" s="52"/>
      <c r="L7" s="51"/>
      <c r="M7" s="52"/>
      <c r="N7" s="51"/>
      <c r="O7" s="52"/>
      <c r="P7" s="52"/>
      <c r="Q7" s="51"/>
      <c r="R7" s="38"/>
      <c r="S7" s="64"/>
    </row>
    <row r="8" spans="2:19" s="1" customFormat="1" ht="19.8" customHeight="1">
      <c r="B8" s="3" t="s">
        <v>388</v>
      </c>
      <c r="C8" s="3"/>
      <c r="D8" s="149"/>
      <c r="E8" s="2"/>
      <c r="F8" s="105" t="s">
        <v>26</v>
      </c>
      <c r="G8" s="2" t="s">
        <v>375</v>
      </c>
      <c r="H8" s="397"/>
      <c r="I8" s="52"/>
      <c r="J8" s="51"/>
      <c r="K8" s="52"/>
      <c r="L8" s="51"/>
      <c r="M8" s="52"/>
      <c r="N8" s="51"/>
      <c r="O8" s="52"/>
      <c r="P8" s="52"/>
      <c r="Q8" s="51"/>
      <c r="R8" s="38"/>
      <c r="S8" s="64"/>
    </row>
    <row r="9" spans="2:19" s="1" customFormat="1" ht="19.8" customHeight="1">
      <c r="B9" s="3" t="s">
        <v>386</v>
      </c>
      <c r="C9" s="3"/>
      <c r="D9" s="149"/>
      <c r="E9" s="2"/>
      <c r="F9" s="105" t="s">
        <v>26</v>
      </c>
      <c r="G9" s="347" t="s">
        <v>376</v>
      </c>
      <c r="H9" s="397"/>
      <c r="I9" s="52"/>
      <c r="J9" s="51"/>
      <c r="K9" s="52"/>
      <c r="L9" s="51"/>
      <c r="M9" s="52"/>
      <c r="N9" s="51"/>
      <c r="O9" s="52"/>
      <c r="P9" s="52"/>
      <c r="Q9" s="51"/>
      <c r="R9" s="38"/>
      <c r="S9" s="3"/>
    </row>
    <row r="10" spans="2:19" s="1" customFormat="1" ht="19.8" customHeight="1">
      <c r="B10" s="3" t="s">
        <v>387</v>
      </c>
      <c r="C10" s="3"/>
      <c r="D10" s="149"/>
      <c r="E10" s="2"/>
      <c r="F10" s="105" t="s">
        <v>26</v>
      </c>
      <c r="G10" s="3" t="s">
        <v>348</v>
      </c>
      <c r="H10" s="397"/>
      <c r="I10" s="52"/>
      <c r="J10" s="51"/>
      <c r="K10" s="52"/>
      <c r="L10" s="51"/>
      <c r="M10" s="52"/>
      <c r="N10" s="51"/>
      <c r="O10" s="52"/>
      <c r="P10" s="52"/>
      <c r="Q10" s="51"/>
      <c r="R10" s="38"/>
      <c r="S10" s="3"/>
    </row>
    <row r="11" spans="2:19" s="1" customFormat="1" ht="16.5" customHeight="1" thickBot="1">
      <c r="B11" s="2"/>
      <c r="C11" s="73"/>
      <c r="D11" s="73"/>
      <c r="E11" s="3"/>
      <c r="F11" s="2"/>
      <c r="G11" s="18"/>
      <c r="H11" s="397"/>
      <c r="I11" s="52"/>
      <c r="J11" s="51"/>
      <c r="K11" s="52"/>
      <c r="L11" s="51"/>
      <c r="M11" s="52"/>
      <c r="N11" s="51"/>
      <c r="O11" s="52"/>
      <c r="P11" s="53"/>
      <c r="Q11" s="51"/>
      <c r="R11" s="39"/>
      <c r="S11" s="65"/>
    </row>
    <row r="12" spans="2:19" s="34" customFormat="1" ht="38.25" customHeight="1" thickTop="1">
      <c r="B12" s="150" t="s">
        <v>0</v>
      </c>
      <c r="C12" s="1241" t="s">
        <v>24</v>
      </c>
      <c r="D12" s="1242"/>
      <c r="E12" s="1242"/>
      <c r="F12" s="1242"/>
      <c r="G12" s="1243"/>
      <c r="H12" s="1234" t="s">
        <v>68</v>
      </c>
      <c r="I12" s="1235"/>
      <c r="J12" s="1235"/>
      <c r="K12" s="1235"/>
      <c r="L12" s="1235"/>
      <c r="M12" s="1235"/>
      <c r="N12" s="1235"/>
      <c r="O12" s="1235"/>
      <c r="P12" s="1235"/>
      <c r="Q12" s="1235"/>
      <c r="R12" s="338" t="s">
        <v>54</v>
      </c>
      <c r="S12" s="151" t="s">
        <v>40</v>
      </c>
    </row>
    <row r="13" spans="2:19" s="1" customFormat="1" ht="16.5" customHeight="1" thickBot="1">
      <c r="B13" s="335" t="s">
        <v>9</v>
      </c>
      <c r="C13" s="1244" t="s">
        <v>10</v>
      </c>
      <c r="D13" s="1245"/>
      <c r="E13" s="1245"/>
      <c r="F13" s="1245"/>
      <c r="G13" s="1246"/>
      <c r="H13" s="1239" t="s">
        <v>11</v>
      </c>
      <c r="I13" s="1240"/>
      <c r="J13" s="1240"/>
      <c r="K13" s="1240"/>
      <c r="L13" s="1240"/>
      <c r="M13" s="1240"/>
      <c r="N13" s="1240"/>
      <c r="O13" s="1240"/>
      <c r="P13" s="1240"/>
      <c r="Q13" s="1240"/>
      <c r="R13" s="336" t="s">
        <v>12</v>
      </c>
      <c r="S13" s="337" t="s">
        <v>13</v>
      </c>
    </row>
    <row r="14" spans="2:19" s="1" customFormat="1" ht="16.5" customHeight="1" thickTop="1">
      <c r="B14" s="4"/>
      <c r="C14" s="74"/>
      <c r="D14" s="377"/>
      <c r="E14" s="19"/>
      <c r="F14" s="5"/>
      <c r="G14" s="21"/>
      <c r="H14" s="398"/>
      <c r="I14" s="77"/>
      <c r="J14" s="54"/>
      <c r="K14" s="77"/>
      <c r="L14" s="54"/>
      <c r="M14" s="77"/>
      <c r="N14" s="54"/>
      <c r="O14" s="77"/>
      <c r="P14" s="55"/>
      <c r="Q14" s="56"/>
      <c r="R14" s="40"/>
      <c r="S14" s="66"/>
    </row>
    <row r="15" spans="2:19" s="464" customFormat="1" ht="19.350000000000001" customHeight="1">
      <c r="B15" s="468" t="str">
        <f>RAB!B376</f>
        <v>G</v>
      </c>
      <c r="C15" s="469" t="str">
        <f>RAB!C376</f>
        <v>PEKERJAAN REHAB RUANG VIP</v>
      </c>
      <c r="D15" s="470"/>
      <c r="E15" s="471"/>
      <c r="F15" s="471"/>
      <c r="G15" s="472"/>
      <c r="H15" s="473"/>
      <c r="I15" s="474"/>
      <c r="J15" s="475"/>
      <c r="K15" s="474"/>
      <c r="L15" s="475"/>
      <c r="M15" s="474"/>
      <c r="N15" s="475"/>
      <c r="O15" s="476"/>
      <c r="P15" s="476"/>
      <c r="Q15" s="476"/>
      <c r="R15" s="477"/>
      <c r="S15" s="478"/>
    </row>
    <row r="16" spans="2:19" s="1" customFormat="1" ht="16.5" customHeight="1">
      <c r="B16" s="35"/>
      <c r="C16" s="48"/>
      <c r="D16" s="378" t="str">
        <f>RAB!D377</f>
        <v>REHAB RUANG</v>
      </c>
      <c r="E16" s="8"/>
      <c r="F16" s="9"/>
      <c r="G16" s="36"/>
      <c r="H16" s="508"/>
      <c r="I16" s="460"/>
      <c r="J16" s="461"/>
      <c r="K16" s="460"/>
      <c r="L16" s="461"/>
      <c r="M16" s="78"/>
      <c r="N16" s="57"/>
      <c r="O16" s="78"/>
      <c r="P16" s="61"/>
      <c r="Q16" s="59"/>
      <c r="R16" s="41"/>
      <c r="S16" s="67"/>
    </row>
    <row r="17" spans="2:19" s="1" customFormat="1" ht="16.5" customHeight="1">
      <c r="B17" s="35"/>
      <c r="C17" s="48" t="str">
        <f>RAB!C378</f>
        <v>I</v>
      </c>
      <c r="D17" s="378" t="str">
        <f>RAB!D378</f>
        <v>PEKERJAAN DINDING PARTISI</v>
      </c>
      <c r="E17" s="8"/>
      <c r="F17" s="9"/>
      <c r="G17" s="36"/>
      <c r="H17" s="508"/>
      <c r="I17" s="460"/>
      <c r="J17" s="461"/>
      <c r="K17" s="460"/>
      <c r="L17" s="461"/>
      <c r="M17" s="78"/>
      <c r="N17" s="57"/>
      <c r="O17" s="78"/>
      <c r="P17" s="61"/>
      <c r="Q17" s="59"/>
      <c r="R17" s="41">
        <v>1</v>
      </c>
      <c r="S17" s="67" t="s">
        <v>20</v>
      </c>
    </row>
    <row r="18" spans="2:19" s="1" customFormat="1" ht="16.5" customHeight="1">
      <c r="B18" s="35"/>
      <c r="C18" s="48"/>
      <c r="D18" s="378">
        <f>RAB!D379</f>
        <v>1</v>
      </c>
      <c r="E18" s="8" t="str">
        <f>RAB!E379</f>
        <v>Pas. Wall Paper</v>
      </c>
      <c r="F18" s="9"/>
      <c r="G18" s="36"/>
      <c r="H18" s="508"/>
      <c r="I18" s="460"/>
      <c r="J18" s="461"/>
      <c r="K18" s="460"/>
      <c r="L18" s="461"/>
      <c r="M18" s="78"/>
      <c r="N18" s="57"/>
      <c r="O18" s="78"/>
      <c r="P18" s="61"/>
      <c r="Q18" s="59"/>
      <c r="R18" s="41">
        <v>1</v>
      </c>
      <c r="S18" s="67" t="s">
        <v>20</v>
      </c>
    </row>
    <row r="19" spans="2:19" s="1" customFormat="1" ht="16.5" customHeight="1">
      <c r="B19" s="35"/>
      <c r="C19" s="48"/>
      <c r="D19" s="378"/>
      <c r="E19" s="8"/>
      <c r="F19" s="9"/>
      <c r="G19" s="36"/>
      <c r="H19" s="508"/>
      <c r="I19" s="460"/>
      <c r="J19" s="461"/>
      <c r="K19" s="460"/>
      <c r="L19" s="461"/>
      <c r="M19" s="78"/>
      <c r="N19" s="57"/>
      <c r="O19" s="78"/>
      <c r="P19" s="61"/>
      <c r="Q19" s="59"/>
      <c r="R19" s="41"/>
      <c r="S19" s="67"/>
    </row>
    <row r="20" spans="2:19" s="1" customFormat="1" ht="16.5" customHeight="1">
      <c r="B20" s="35"/>
      <c r="C20" s="48" t="str">
        <f>RAB!C381</f>
        <v>II</v>
      </c>
      <c r="D20" s="378" t="str">
        <f>RAB!D381</f>
        <v>PEKERJAAN PLAFOND</v>
      </c>
      <c r="E20" s="8"/>
      <c r="F20" s="9"/>
      <c r="G20" s="36"/>
      <c r="H20" s="399"/>
      <c r="I20" s="78"/>
      <c r="J20" s="57"/>
      <c r="K20" s="78"/>
      <c r="L20" s="57"/>
      <c r="M20" s="78"/>
      <c r="N20" s="57"/>
      <c r="O20" s="78"/>
      <c r="P20" s="61"/>
      <c r="Q20" s="59"/>
      <c r="R20" s="41">
        <f>P22</f>
        <v>276.5</v>
      </c>
      <c r="S20" s="67" t="s">
        <v>133</v>
      </c>
    </row>
    <row r="21" spans="2:19" s="1" customFormat="1" ht="16.5" customHeight="1">
      <c r="B21" s="35"/>
      <c r="C21" s="48"/>
      <c r="D21" s="378">
        <f>RAB!D382</f>
        <v>1</v>
      </c>
      <c r="E21" s="8" t="str">
        <f>RAB!E382</f>
        <v>Sisip Plafond Gypsum</v>
      </c>
      <c r="F21" s="9"/>
      <c r="G21" s="36"/>
      <c r="H21" s="392" t="s">
        <v>428</v>
      </c>
      <c r="I21" s="460"/>
      <c r="J21" s="461" t="s">
        <v>446</v>
      </c>
      <c r="K21" s="78"/>
      <c r="L21" s="57"/>
      <c r="M21" s="78"/>
      <c r="N21" s="57"/>
      <c r="O21" s="79"/>
      <c r="P21" s="61"/>
      <c r="Q21" s="59"/>
      <c r="R21" s="41"/>
      <c r="S21" s="67"/>
    </row>
    <row r="22" spans="2:19" s="1" customFormat="1" ht="16.5" customHeight="1">
      <c r="B22" s="35"/>
      <c r="C22" s="48"/>
      <c r="D22" s="378">
        <f>RAB!D383</f>
        <v>2</v>
      </c>
      <c r="E22" s="8" t="str">
        <f>RAB!E383</f>
        <v>List Profil Gypsum</v>
      </c>
      <c r="F22" s="9"/>
      <c r="G22" s="36"/>
      <c r="H22" s="392">
        <v>276.5</v>
      </c>
      <c r="I22" s="460" t="s">
        <v>49</v>
      </c>
      <c r="J22" s="461">
        <v>1</v>
      </c>
      <c r="K22" s="78"/>
      <c r="L22" s="57"/>
      <c r="M22" s="78"/>
      <c r="N22" s="57"/>
      <c r="O22" s="78" t="s">
        <v>50</v>
      </c>
      <c r="P22" s="61">
        <f>H22*J22</f>
        <v>276.5</v>
      </c>
      <c r="Q22" s="413" t="s">
        <v>133</v>
      </c>
      <c r="R22" s="41"/>
      <c r="S22" s="67"/>
    </row>
    <row r="23" spans="2:19" s="1" customFormat="1" ht="16.5" customHeight="1">
      <c r="B23" s="35"/>
      <c r="C23" s="48"/>
      <c r="D23" s="378"/>
      <c r="E23" s="8"/>
      <c r="F23" s="9"/>
      <c r="G23" s="36"/>
      <c r="H23" s="508"/>
      <c r="I23" s="460"/>
      <c r="J23" s="461"/>
      <c r="K23" s="460"/>
      <c r="L23" s="461"/>
      <c r="M23" s="78"/>
      <c r="N23" s="57"/>
      <c r="O23" s="78"/>
      <c r="P23" s="61"/>
      <c r="Q23" s="59"/>
      <c r="R23" s="41"/>
      <c r="S23" s="67"/>
    </row>
    <row r="24" spans="2:19" s="1" customFormat="1" ht="16.5" customHeight="1">
      <c r="B24" s="35"/>
      <c r="C24" s="48" t="str">
        <f>RAB!C385</f>
        <v>III</v>
      </c>
      <c r="D24" s="378" t="str">
        <f>RAB!D385</f>
        <v>PEKERJAAN PINTU &amp; JENDELA</v>
      </c>
      <c r="E24" s="8"/>
      <c r="F24" s="9"/>
      <c r="G24" s="36"/>
      <c r="H24" s="508"/>
      <c r="I24" s="460"/>
      <c r="J24" s="461"/>
      <c r="K24" s="460"/>
      <c r="L24" s="461"/>
      <c r="M24" s="78"/>
      <c r="N24" s="57"/>
      <c r="O24" s="78"/>
      <c r="P24" s="61"/>
      <c r="Q24" s="59"/>
      <c r="R24" s="41">
        <f>R20</f>
        <v>276.5</v>
      </c>
      <c r="S24" s="67" t="s">
        <v>133</v>
      </c>
    </row>
    <row r="25" spans="2:19" s="1" customFormat="1" ht="16.5" customHeight="1">
      <c r="B25" s="35"/>
      <c r="C25" s="48"/>
      <c r="D25" s="378">
        <f>RAB!D386</f>
        <v>1</v>
      </c>
      <c r="E25" s="8" t="str">
        <f>RAB!E386</f>
        <v xml:space="preserve">Kunci Tanam </v>
      </c>
      <c r="F25" s="9"/>
      <c r="G25" s="36"/>
      <c r="H25" s="508"/>
      <c r="I25" s="460"/>
      <c r="J25" s="461"/>
      <c r="K25" s="460"/>
      <c r="L25" s="461"/>
      <c r="M25" s="78"/>
      <c r="N25" s="57"/>
      <c r="O25" s="78"/>
      <c r="P25" s="61"/>
      <c r="Q25" s="59"/>
      <c r="R25" s="41">
        <v>90</v>
      </c>
      <c r="S25" s="67" t="s">
        <v>21</v>
      </c>
    </row>
    <row r="26" spans="2:19" s="1" customFormat="1" ht="16.5" customHeight="1">
      <c r="B26" s="35"/>
      <c r="C26" s="48"/>
      <c r="D26" s="378">
        <f>RAB!D387</f>
        <v>2</v>
      </c>
      <c r="E26" s="8" t="str">
        <f>RAB!E387</f>
        <v>Handle Pintu</v>
      </c>
      <c r="F26" s="9"/>
      <c r="G26" s="36"/>
      <c r="H26" s="508"/>
      <c r="I26" s="460"/>
      <c r="J26" s="461"/>
      <c r="K26" s="460"/>
      <c r="L26" s="461"/>
      <c r="M26" s="78"/>
      <c r="N26" s="57"/>
      <c r="O26" s="78"/>
      <c r="P26" s="61"/>
      <c r="Q26" s="59"/>
      <c r="R26" s="41"/>
      <c r="S26" s="67"/>
    </row>
    <row r="27" spans="2:19" s="1" customFormat="1" ht="16.5" customHeight="1">
      <c r="B27" s="35"/>
      <c r="C27" s="48"/>
      <c r="D27" s="378">
        <f>RAB!D388</f>
        <v>3</v>
      </c>
      <c r="E27" s="8" t="str">
        <f>RAB!E388</f>
        <v>Engsel Jendela Aluminium</v>
      </c>
      <c r="F27" s="9"/>
      <c r="G27" s="36"/>
      <c r="H27" s="508"/>
      <c r="I27" s="460"/>
      <c r="J27" s="461"/>
      <c r="K27" s="460"/>
      <c r="L27" s="461"/>
      <c r="M27" s="78"/>
      <c r="N27" s="57"/>
      <c r="O27" s="78"/>
      <c r="P27" s="61"/>
      <c r="Q27" s="59"/>
      <c r="R27" s="41"/>
      <c r="S27" s="67"/>
    </row>
    <row r="28" spans="2:19" s="1" customFormat="1" ht="16.5" customHeight="1">
      <c r="B28" s="35"/>
      <c r="C28" s="48"/>
      <c r="D28" s="378">
        <f>RAB!D389</f>
        <v>4</v>
      </c>
      <c r="E28" s="8" t="str">
        <f>RAB!E389</f>
        <v>Pas. Tirai Gorden Gulung</v>
      </c>
      <c r="F28" s="9"/>
      <c r="G28" s="36"/>
      <c r="H28" s="399"/>
      <c r="I28" s="78"/>
      <c r="J28" s="57"/>
      <c r="K28" s="78"/>
      <c r="L28" s="57"/>
      <c r="M28" s="78"/>
      <c r="N28" s="57"/>
      <c r="O28" s="78"/>
      <c r="P28" s="61"/>
      <c r="Q28" s="59"/>
      <c r="R28" s="41">
        <f>P30</f>
        <v>360</v>
      </c>
      <c r="S28" s="67" t="s">
        <v>133</v>
      </c>
    </row>
    <row r="29" spans="2:19" s="1" customFormat="1" ht="16.5" customHeight="1">
      <c r="B29" s="35"/>
      <c r="C29" s="48"/>
      <c r="D29" s="378"/>
      <c r="E29" s="8"/>
      <c r="F29" s="9"/>
      <c r="G29" s="36"/>
      <c r="H29" s="392" t="s">
        <v>428</v>
      </c>
      <c r="I29" s="460"/>
      <c r="J29" s="461" t="s">
        <v>447</v>
      </c>
      <c r="K29" s="78"/>
      <c r="L29" s="57"/>
      <c r="M29" s="78"/>
      <c r="N29" s="57"/>
      <c r="O29" s="79"/>
      <c r="P29" s="61"/>
      <c r="Q29" s="59"/>
      <c r="R29" s="41"/>
      <c r="S29" s="67"/>
    </row>
    <row r="30" spans="2:19" s="1" customFormat="1" ht="16.5" customHeight="1">
      <c r="B30" s="35"/>
      <c r="C30" s="48" t="str">
        <f>RAB!C391</f>
        <v>IV</v>
      </c>
      <c r="D30" s="378" t="str">
        <f>RAB!D391</f>
        <v>PEKERJAAN PENGECATAN</v>
      </c>
      <c r="E30" s="8"/>
      <c r="F30" s="9"/>
      <c r="G30" s="36"/>
      <c r="H30" s="392">
        <f>R25</f>
        <v>90</v>
      </c>
      <c r="I30" s="460" t="s">
        <v>49</v>
      </c>
      <c r="J30" s="461">
        <v>4</v>
      </c>
      <c r="K30" s="78" t="s">
        <v>50</v>
      </c>
      <c r="L30" s="57"/>
      <c r="M30" s="78"/>
      <c r="N30" s="57"/>
      <c r="O30" s="78" t="s">
        <v>50</v>
      </c>
      <c r="P30" s="61">
        <f>H30*J30</f>
        <v>360</v>
      </c>
      <c r="Q30" s="413" t="s">
        <v>133</v>
      </c>
      <c r="R30" s="41"/>
      <c r="S30" s="67"/>
    </row>
    <row r="31" spans="2:19" s="1" customFormat="1" ht="16.5" customHeight="1">
      <c r="B31" s="35"/>
      <c r="C31" s="48"/>
      <c r="D31" s="378">
        <f>RAB!D392</f>
        <v>1</v>
      </c>
      <c r="E31" s="8" t="str">
        <f>RAB!E392</f>
        <v>Pengecatan Plafond</v>
      </c>
      <c r="F31" s="9"/>
      <c r="G31" s="36"/>
      <c r="H31" s="508"/>
      <c r="I31" s="460"/>
      <c r="J31" s="461"/>
      <c r="K31" s="78" t="s">
        <v>50</v>
      </c>
      <c r="L31" s="461"/>
      <c r="M31" s="78"/>
      <c r="N31" s="57"/>
      <c r="O31" s="78"/>
      <c r="P31" s="61"/>
      <c r="Q31" s="59"/>
      <c r="R31" s="41"/>
      <c r="S31" s="67"/>
    </row>
    <row r="32" spans="2:19" s="1" customFormat="1" ht="16.5" customHeight="1">
      <c r="B32" s="35"/>
      <c r="C32" s="48"/>
      <c r="D32" s="378"/>
      <c r="E32" s="8"/>
      <c r="F32" s="9"/>
      <c r="G32" s="36"/>
      <c r="H32" s="508"/>
      <c r="I32" s="460"/>
      <c r="J32" s="461"/>
      <c r="K32" s="78" t="s">
        <v>50</v>
      </c>
      <c r="L32" s="461"/>
      <c r="M32" s="78"/>
      <c r="N32" s="57"/>
      <c r="O32" s="78"/>
      <c r="P32" s="61"/>
      <c r="Q32" s="59"/>
      <c r="R32" s="41"/>
      <c r="S32" s="67"/>
    </row>
    <row r="33" spans="2:19" s="1" customFormat="1" ht="16.5" customHeight="1">
      <c r="B33" s="35"/>
      <c r="C33" s="48"/>
      <c r="D33" s="378" t="str">
        <f>RAB!D395</f>
        <v>PEMBUATAN KAMAR MANDI</v>
      </c>
      <c r="E33" s="8"/>
      <c r="F33" s="9"/>
      <c r="G33" s="36"/>
      <c r="H33" s="508"/>
      <c r="I33" s="460"/>
      <c r="J33" s="461"/>
      <c r="K33" s="460"/>
      <c r="L33" s="461"/>
      <c r="M33" s="78"/>
      <c r="N33" s="57"/>
      <c r="O33" s="78"/>
      <c r="P33" s="61"/>
      <c r="Q33" s="59"/>
      <c r="R33" s="41"/>
      <c r="S33" s="67"/>
    </row>
    <row r="34" spans="2:19" s="1" customFormat="1" ht="16.5" customHeight="1">
      <c r="B34" s="35"/>
      <c r="C34" s="48" t="str">
        <f>RAB!C396</f>
        <v>I</v>
      </c>
      <c r="D34" s="378" t="str">
        <f>RAB!D396</f>
        <v>PEKERJAAN PONDASI &amp; BETON</v>
      </c>
      <c r="E34" s="8"/>
      <c r="F34" s="9"/>
      <c r="G34" s="36"/>
      <c r="H34" s="508"/>
      <c r="I34" s="460"/>
      <c r="J34" s="461"/>
      <c r="K34" s="460"/>
      <c r="L34" s="461"/>
      <c r="M34" s="78"/>
      <c r="N34" s="57"/>
      <c r="O34" s="78"/>
      <c r="P34" s="61"/>
      <c r="Q34" s="59"/>
      <c r="R34" s="41"/>
      <c r="S34" s="67"/>
    </row>
    <row r="35" spans="2:19" s="1" customFormat="1" ht="16.5" customHeight="1">
      <c r="B35" s="35"/>
      <c r="C35" s="48"/>
      <c r="D35" s="378">
        <f>RAB!D397</f>
        <v>1</v>
      </c>
      <c r="E35" s="8" t="str">
        <f>RAB!E397</f>
        <v>Pekerjaan Bongkaran</v>
      </c>
      <c r="F35" s="9"/>
      <c r="G35" s="36"/>
      <c r="H35" s="508"/>
      <c r="I35" s="460"/>
      <c r="J35" s="461"/>
      <c r="K35" s="460"/>
      <c r="L35" s="461"/>
      <c r="M35" s="78"/>
      <c r="N35" s="57"/>
      <c r="O35" s="78"/>
      <c r="P35" s="61"/>
      <c r="Q35" s="59"/>
      <c r="R35" s="41"/>
      <c r="S35" s="67"/>
    </row>
    <row r="36" spans="2:19" s="1" customFormat="1" ht="16.5" customHeight="1">
      <c r="B36" s="35"/>
      <c r="C36" s="48"/>
      <c r="D36" s="378">
        <f>RAB!D398</f>
        <v>2</v>
      </c>
      <c r="E36" s="8" t="str">
        <f>RAB!E398</f>
        <v>Balok Sloof 15/20</v>
      </c>
      <c r="F36" s="9"/>
      <c r="G36" s="36"/>
      <c r="H36" s="508"/>
      <c r="I36" s="460"/>
      <c r="J36" s="461"/>
      <c r="K36" s="460"/>
      <c r="L36" s="461"/>
      <c r="M36" s="78"/>
      <c r="N36" s="57"/>
      <c r="O36" s="78"/>
      <c r="P36" s="61"/>
      <c r="Q36" s="59"/>
      <c r="R36" s="41"/>
      <c r="S36" s="67"/>
    </row>
    <row r="37" spans="2:19" s="1" customFormat="1" ht="16.5" customHeight="1">
      <c r="B37" s="35"/>
      <c r="C37" s="48"/>
      <c r="D37" s="378"/>
      <c r="E37" s="8" t="str">
        <f>RAB!E399</f>
        <v>Beton  Cor f’c = 14,5 Mpa (K175)</v>
      </c>
      <c r="F37" s="9"/>
      <c r="G37" s="36"/>
      <c r="H37" s="508"/>
      <c r="I37" s="460"/>
      <c r="J37" s="461"/>
      <c r="K37" s="460"/>
      <c r="L37" s="461"/>
      <c r="M37" s="78"/>
      <c r="N37" s="57"/>
      <c r="O37" s="78"/>
      <c r="P37" s="61"/>
      <c r="Q37" s="59"/>
      <c r="R37" s="41">
        <f>P41</f>
        <v>0.375</v>
      </c>
      <c r="S37" s="67" t="s">
        <v>81</v>
      </c>
    </row>
    <row r="38" spans="2:19" s="1" customFormat="1" ht="16.5" customHeight="1">
      <c r="B38" s="35"/>
      <c r="C38" s="48"/>
      <c r="D38" s="378"/>
      <c r="E38" s="8"/>
      <c r="F38" s="9"/>
      <c r="G38" s="36"/>
      <c r="H38" s="392">
        <v>2</v>
      </c>
      <c r="I38" s="460" t="s">
        <v>49</v>
      </c>
      <c r="J38" s="461">
        <v>4</v>
      </c>
      <c r="K38" s="78"/>
      <c r="L38" s="57"/>
      <c r="M38" s="78"/>
      <c r="N38" s="57"/>
      <c r="O38" s="78" t="s">
        <v>50</v>
      </c>
      <c r="P38" s="58">
        <f t="shared" ref="P38:P39" si="0">H38*J38</f>
        <v>8</v>
      </c>
      <c r="Q38" s="413" t="s">
        <v>21</v>
      </c>
      <c r="R38" s="41"/>
      <c r="S38" s="67"/>
    </row>
    <row r="39" spans="2:19" s="1" customFormat="1" ht="16.5" customHeight="1">
      <c r="B39" s="35"/>
      <c r="C39" s="48"/>
      <c r="D39" s="378"/>
      <c r="E39" s="8"/>
      <c r="F39" s="9"/>
      <c r="G39" s="36"/>
      <c r="H39" s="392">
        <v>4.5</v>
      </c>
      <c r="I39" s="460" t="s">
        <v>49</v>
      </c>
      <c r="J39" s="461">
        <v>1</v>
      </c>
      <c r="K39" s="78"/>
      <c r="L39" s="57"/>
      <c r="M39" s="78"/>
      <c r="N39" s="57"/>
      <c r="O39" s="78" t="s">
        <v>50</v>
      </c>
      <c r="P39" s="58">
        <f t="shared" si="0"/>
        <v>4.5</v>
      </c>
      <c r="Q39" s="413" t="s">
        <v>21</v>
      </c>
      <c r="R39" s="41"/>
      <c r="S39" s="67"/>
    </row>
    <row r="40" spans="2:19" s="1" customFormat="1" ht="16.5" customHeight="1">
      <c r="B40" s="35"/>
      <c r="C40" s="48"/>
      <c r="D40" s="378"/>
      <c r="E40" s="8"/>
      <c r="F40" s="9"/>
      <c r="G40" s="36"/>
      <c r="H40" s="392"/>
      <c r="I40" s="460"/>
      <c r="J40" s="461"/>
      <c r="K40" s="78"/>
      <c r="L40" s="57"/>
      <c r="M40" s="78"/>
      <c r="N40" s="57"/>
      <c r="O40" s="78" t="s">
        <v>50</v>
      </c>
      <c r="P40" s="61">
        <f>SUM(P38:P39)</f>
        <v>12.5</v>
      </c>
      <c r="Q40" s="413" t="s">
        <v>21</v>
      </c>
      <c r="R40" s="41"/>
      <c r="S40" s="67"/>
    </row>
    <row r="41" spans="2:19" s="1" customFormat="1" ht="16.5" customHeight="1">
      <c r="B41" s="35"/>
      <c r="C41" s="48"/>
      <c r="D41" s="378"/>
      <c r="E41" s="8"/>
      <c r="F41" s="9"/>
      <c r="G41" s="36"/>
      <c r="H41" s="392">
        <v>0.15</v>
      </c>
      <c r="I41" s="460" t="s">
        <v>49</v>
      </c>
      <c r="J41" s="461">
        <v>0.2</v>
      </c>
      <c r="K41" s="460" t="s">
        <v>49</v>
      </c>
      <c r="L41" s="461">
        <f>P40</f>
        <v>12.5</v>
      </c>
      <c r="M41" s="78"/>
      <c r="N41" s="57"/>
      <c r="O41" s="78" t="s">
        <v>50</v>
      </c>
      <c r="P41" s="61">
        <f>H41*J41*L41</f>
        <v>0.375</v>
      </c>
      <c r="Q41" s="413" t="s">
        <v>81</v>
      </c>
      <c r="R41" s="41"/>
      <c r="S41" s="67"/>
    </row>
    <row r="42" spans="2:19" s="1" customFormat="1" ht="16.5" customHeight="1">
      <c r="B42" s="35"/>
      <c r="C42" s="48"/>
      <c r="D42" s="378"/>
      <c r="E42" s="8"/>
      <c r="F42" s="9"/>
      <c r="G42" s="36"/>
      <c r="H42" s="392"/>
      <c r="I42" s="460"/>
      <c r="J42" s="461"/>
      <c r="K42" s="460"/>
      <c r="L42" s="461"/>
      <c r="M42" s="78"/>
      <c r="N42" s="57"/>
      <c r="O42" s="78"/>
      <c r="P42" s="61"/>
      <c r="Q42" s="413"/>
      <c r="R42" s="41"/>
      <c r="S42" s="67"/>
    </row>
    <row r="43" spans="2:19" s="1" customFormat="1" ht="16.5" customHeight="1">
      <c r="B43" s="35"/>
      <c r="C43" s="48"/>
      <c r="D43" s="378"/>
      <c r="E43" s="8" t="str">
        <f>RAB!E400</f>
        <v>Pembesian 4 Ø12</v>
      </c>
      <c r="F43" s="9"/>
      <c r="G43" s="36"/>
      <c r="H43" s="508"/>
      <c r="I43" s="460"/>
      <c r="J43" s="461"/>
      <c r="K43" s="460"/>
      <c r="L43" s="461"/>
      <c r="M43" s="78"/>
      <c r="N43" s="57"/>
      <c r="O43" s="78"/>
      <c r="P43" s="61"/>
      <c r="Q43" s="59"/>
      <c r="R43" s="41">
        <f>P48</f>
        <v>44.368200000000002</v>
      </c>
      <c r="S43" s="67" t="s">
        <v>69</v>
      </c>
    </row>
    <row r="44" spans="2:19" s="1" customFormat="1" ht="16.5" customHeight="1">
      <c r="B44" s="35"/>
      <c r="C44" s="48"/>
      <c r="D44" s="378"/>
      <c r="E44" s="8" t="str">
        <f>RAB!E401</f>
        <v>Pembesian Ø8 - 150</v>
      </c>
      <c r="F44" s="9"/>
      <c r="G44" s="36"/>
      <c r="H44" s="508"/>
      <c r="I44" s="460"/>
      <c r="J44" s="461"/>
      <c r="K44" s="460"/>
      <c r="L44" s="461"/>
      <c r="M44" s="78"/>
      <c r="N44" s="57"/>
      <c r="O44" s="78"/>
      <c r="P44" s="61"/>
      <c r="Q44" s="59"/>
      <c r="R44" s="41">
        <f>P55</f>
        <v>22.67708</v>
      </c>
      <c r="S44" s="67" t="s">
        <v>69</v>
      </c>
    </row>
    <row r="45" spans="2:19" s="1" customFormat="1" ht="16.5" customHeight="1">
      <c r="B45" s="35"/>
      <c r="C45" s="48"/>
      <c r="D45" s="378"/>
      <c r="E45" s="8"/>
      <c r="F45" s="9"/>
      <c r="G45" s="699" t="s">
        <v>721</v>
      </c>
      <c r="H45" s="451"/>
      <c r="I45" s="57"/>
      <c r="J45" s="78"/>
      <c r="K45" s="57"/>
      <c r="L45" s="78"/>
      <c r="M45" s="57"/>
      <c r="N45" s="57"/>
      <c r="O45" s="78"/>
      <c r="P45" s="61"/>
      <c r="Q45" s="59"/>
      <c r="R45" s="41"/>
      <c r="S45" s="67"/>
    </row>
    <row r="46" spans="2:19" s="1" customFormat="1" ht="16.5" customHeight="1">
      <c r="B46" s="35"/>
      <c r="C46" s="48"/>
      <c r="D46" s="378"/>
      <c r="E46" s="8"/>
      <c r="F46" s="9"/>
      <c r="G46" s="700" t="s">
        <v>245</v>
      </c>
      <c r="H46" s="454">
        <v>12</v>
      </c>
      <c r="I46" s="455" t="s">
        <v>50</v>
      </c>
      <c r="J46" s="454">
        <f>0.25*((H46/1000)^2)*3.14*7850</f>
        <v>0.88736400000000004</v>
      </c>
      <c r="K46" s="456"/>
      <c r="L46" s="701" t="s">
        <v>63</v>
      </c>
      <c r="M46" s="701"/>
      <c r="N46" s="57"/>
      <c r="O46" s="78"/>
      <c r="P46" s="61"/>
      <c r="Q46" s="59"/>
      <c r="R46" s="41"/>
      <c r="S46" s="67"/>
    </row>
    <row r="47" spans="2:19" s="1" customFormat="1" ht="16.5" customHeight="1">
      <c r="B47" s="35"/>
      <c r="C47" s="48"/>
      <c r="D47" s="378"/>
      <c r="E47" s="8"/>
      <c r="F47" s="9"/>
      <c r="G47" s="706" t="s">
        <v>722</v>
      </c>
      <c r="H47" s="702">
        <v>4</v>
      </c>
      <c r="I47" s="703" t="s">
        <v>49</v>
      </c>
      <c r="J47" s="703">
        <f>P40</f>
        <v>12.5</v>
      </c>
      <c r="K47" s="703"/>
      <c r="L47" s="703"/>
      <c r="M47" s="703"/>
      <c r="N47" s="57"/>
      <c r="O47" s="704" t="s">
        <v>50</v>
      </c>
      <c r="P47" s="419">
        <f>H47*J47</f>
        <v>50</v>
      </c>
      <c r="Q47" s="705" t="s">
        <v>3</v>
      </c>
      <c r="R47" s="41"/>
      <c r="S47" s="67"/>
    </row>
    <row r="48" spans="2:19" s="1" customFormat="1" ht="16.5" customHeight="1">
      <c r="B48" s="35"/>
      <c r="C48" s="48"/>
      <c r="D48" s="378"/>
      <c r="E48" s="8"/>
      <c r="F48" s="9"/>
      <c r="G48" s="706" t="s">
        <v>723</v>
      </c>
      <c r="H48" s="702">
        <f>P47</f>
        <v>50</v>
      </c>
      <c r="I48" s="703" t="s">
        <v>49</v>
      </c>
      <c r="J48" s="703">
        <f>J46</f>
        <v>0.88736400000000004</v>
      </c>
      <c r="K48" s="702"/>
      <c r="L48" s="707"/>
      <c r="M48" s="707"/>
      <c r="N48" s="57"/>
      <c r="O48" s="704" t="s">
        <v>50</v>
      </c>
      <c r="P48" s="422">
        <f>H48*J48</f>
        <v>44.368200000000002</v>
      </c>
      <c r="Q48" s="705" t="s">
        <v>69</v>
      </c>
      <c r="R48" s="41"/>
      <c r="S48" s="67"/>
    </row>
    <row r="49" spans="2:19" s="1" customFormat="1" ht="16.5" customHeight="1">
      <c r="B49" s="35"/>
      <c r="C49" s="48"/>
      <c r="D49" s="378"/>
      <c r="E49" s="8"/>
      <c r="F49" s="9"/>
      <c r="G49" s="706"/>
      <c r="H49" s="702"/>
      <c r="I49" s="703"/>
      <c r="J49" s="703"/>
      <c r="K49" s="702"/>
      <c r="L49" s="707"/>
      <c r="M49" s="707"/>
      <c r="N49" s="57"/>
      <c r="O49" s="704"/>
      <c r="P49" s="419"/>
      <c r="Q49" s="705"/>
      <c r="R49" s="41"/>
      <c r="S49" s="67"/>
    </row>
    <row r="50" spans="2:19" s="1" customFormat="1" ht="16.5" customHeight="1">
      <c r="B50" s="35"/>
      <c r="C50" s="48"/>
      <c r="D50" s="378"/>
      <c r="E50" s="8"/>
      <c r="F50" s="9"/>
      <c r="G50" s="706" t="s">
        <v>724</v>
      </c>
      <c r="H50" s="702"/>
      <c r="I50" s="703"/>
      <c r="J50" s="703"/>
      <c r="K50" s="702"/>
      <c r="L50" s="707"/>
      <c r="M50" s="707"/>
      <c r="N50" s="57"/>
      <c r="O50" s="704"/>
      <c r="P50" s="419"/>
      <c r="Q50" s="705"/>
      <c r="R50" s="41"/>
      <c r="S50" s="67"/>
    </row>
    <row r="51" spans="2:19" s="1" customFormat="1" ht="16.5" customHeight="1">
      <c r="B51" s="35"/>
      <c r="C51" s="48"/>
      <c r="D51" s="378"/>
      <c r="E51" s="8"/>
      <c r="F51" s="9"/>
      <c r="G51" s="700" t="s">
        <v>245</v>
      </c>
      <c r="H51" s="454">
        <v>8</v>
      </c>
      <c r="I51" s="455" t="s">
        <v>50</v>
      </c>
      <c r="J51" s="454">
        <f>0.25*((H51/1000)^2)*3.14*7850</f>
        <v>0.39438400000000001</v>
      </c>
      <c r="K51" s="456"/>
      <c r="L51" s="701" t="s">
        <v>63</v>
      </c>
      <c r="M51" s="701"/>
      <c r="N51" s="57"/>
      <c r="O51" s="704"/>
      <c r="P51" s="419"/>
      <c r="Q51" s="705"/>
      <c r="R51" s="41"/>
      <c r="S51" s="67"/>
    </row>
    <row r="52" spans="2:19" s="1" customFormat="1" ht="16.5" customHeight="1">
      <c r="B52" s="35"/>
      <c r="C52" s="48"/>
      <c r="D52" s="378"/>
      <c r="E52" s="8"/>
      <c r="F52" s="9"/>
      <c r="G52" s="706" t="s">
        <v>725</v>
      </c>
      <c r="H52" s="702"/>
      <c r="I52" s="703"/>
      <c r="J52" s="703"/>
      <c r="K52" s="702"/>
      <c r="L52" s="703"/>
      <c r="M52" s="703"/>
      <c r="N52" s="57"/>
      <c r="O52" s="702" t="s">
        <v>50</v>
      </c>
      <c r="P52" s="419">
        <f>0.09*2+0.13*2+0.05*5</f>
        <v>0.69</v>
      </c>
      <c r="Q52" s="705" t="s">
        <v>3</v>
      </c>
      <c r="R52" s="41"/>
      <c r="S52" s="67"/>
    </row>
    <row r="53" spans="2:19" s="1" customFormat="1" ht="16.5" customHeight="1">
      <c r="B53" s="35"/>
      <c r="C53" s="48"/>
      <c r="D53" s="378"/>
      <c r="E53" s="8"/>
      <c r="F53" s="9"/>
      <c r="G53" s="706" t="s">
        <v>52</v>
      </c>
      <c r="H53" s="702">
        <f>J47</f>
        <v>12.5</v>
      </c>
      <c r="I53" s="703" t="s">
        <v>53</v>
      </c>
      <c r="J53" s="703">
        <v>0.15</v>
      </c>
      <c r="K53" s="702"/>
      <c r="L53" s="703"/>
      <c r="M53" s="703"/>
      <c r="N53" s="57"/>
      <c r="O53" s="704" t="s">
        <v>50</v>
      </c>
      <c r="P53" s="419">
        <f>H53/J53</f>
        <v>83.333333333333343</v>
      </c>
      <c r="Q53" s="705" t="s">
        <v>23</v>
      </c>
      <c r="R53" s="41"/>
      <c r="S53" s="67"/>
    </row>
    <row r="54" spans="2:19" s="1" customFormat="1" ht="16.5" customHeight="1">
      <c r="B54" s="35"/>
      <c r="C54" s="48"/>
      <c r="D54" s="378"/>
      <c r="E54" s="8"/>
      <c r="F54" s="9"/>
      <c r="G54" s="706" t="s">
        <v>51</v>
      </c>
      <c r="H54" s="702">
        <f>P53</f>
        <v>83.333333333333343</v>
      </c>
      <c r="I54" s="703" t="s">
        <v>49</v>
      </c>
      <c r="J54" s="703">
        <f>P52</f>
        <v>0.69</v>
      </c>
      <c r="K54" s="702"/>
      <c r="L54" s="703"/>
      <c r="M54" s="703"/>
      <c r="N54" s="57"/>
      <c r="O54" s="704" t="s">
        <v>50</v>
      </c>
      <c r="P54" s="419">
        <f>H54*J54</f>
        <v>57.5</v>
      </c>
      <c r="Q54" s="705" t="s">
        <v>3</v>
      </c>
      <c r="R54" s="41"/>
      <c r="S54" s="67"/>
    </row>
    <row r="55" spans="2:19" s="1" customFormat="1" ht="16.5" customHeight="1">
      <c r="B55" s="35"/>
      <c r="C55" s="48"/>
      <c r="D55" s="378"/>
      <c r="E55" s="8"/>
      <c r="F55" s="9"/>
      <c r="G55" s="706" t="s">
        <v>723</v>
      </c>
      <c r="H55" s="702">
        <f>P54</f>
        <v>57.5</v>
      </c>
      <c r="I55" s="703" t="s">
        <v>49</v>
      </c>
      <c r="J55" s="703">
        <f>J51</f>
        <v>0.39438400000000001</v>
      </c>
      <c r="K55" s="702"/>
      <c r="L55" s="703"/>
      <c r="M55" s="703"/>
      <c r="N55" s="57"/>
      <c r="O55" s="704" t="s">
        <v>50</v>
      </c>
      <c r="P55" s="422">
        <f>H55*J55</f>
        <v>22.67708</v>
      </c>
      <c r="Q55" s="705" t="s">
        <v>69</v>
      </c>
      <c r="R55" s="41"/>
      <c r="S55" s="67"/>
    </row>
    <row r="56" spans="2:19" s="1" customFormat="1" ht="16.5" customHeight="1">
      <c r="B56" s="35"/>
      <c r="C56" s="48"/>
      <c r="D56" s="378"/>
      <c r="E56" s="8"/>
      <c r="F56" s="9"/>
      <c r="G56" s="36"/>
      <c r="H56" s="508"/>
      <c r="I56" s="460"/>
      <c r="J56" s="461"/>
      <c r="K56" s="460"/>
      <c r="L56" s="461"/>
      <c r="M56" s="78"/>
      <c r="N56" s="57"/>
      <c r="O56" s="78"/>
      <c r="P56" s="61"/>
      <c r="Q56" s="59"/>
      <c r="R56" s="41"/>
      <c r="S56" s="67"/>
    </row>
    <row r="57" spans="2:19" s="1" customFormat="1" ht="16.5" customHeight="1">
      <c r="B57" s="35"/>
      <c r="C57" s="48"/>
      <c r="D57" s="378"/>
      <c r="E57" s="8" t="str">
        <f>RAB!E402</f>
        <v>Bekisting</v>
      </c>
      <c r="F57" s="9"/>
      <c r="G57" s="36"/>
      <c r="H57" s="508"/>
      <c r="I57" s="460"/>
      <c r="J57" s="461"/>
      <c r="K57" s="460"/>
      <c r="L57" s="461"/>
      <c r="M57" s="78"/>
      <c r="N57" s="57"/>
      <c r="O57" s="78"/>
      <c r="P57" s="61"/>
      <c r="Q57" s="59"/>
      <c r="R57" s="41">
        <f>P60</f>
        <v>6.875</v>
      </c>
      <c r="S57" s="67" t="s">
        <v>133</v>
      </c>
    </row>
    <row r="58" spans="2:19" s="1" customFormat="1" ht="16.5" customHeight="1">
      <c r="B58" s="35"/>
      <c r="C58" s="48"/>
      <c r="D58" s="378"/>
      <c r="E58" s="8"/>
      <c r="F58" s="9"/>
      <c r="G58" s="36"/>
      <c r="H58" s="698">
        <f>H41</f>
        <v>0.15</v>
      </c>
      <c r="I58" s="57" t="s">
        <v>49</v>
      </c>
      <c r="J58" s="57">
        <v>1</v>
      </c>
      <c r="K58" s="460" t="s">
        <v>49</v>
      </c>
      <c r="L58" s="461">
        <f>P40</f>
        <v>12.5</v>
      </c>
      <c r="M58" s="78"/>
      <c r="N58" s="57"/>
      <c r="O58" s="78" t="s">
        <v>50</v>
      </c>
      <c r="P58" s="58">
        <f t="shared" ref="P58:P59" si="1">H58*J58*L58</f>
        <v>1.875</v>
      </c>
      <c r="Q58" s="59" t="s">
        <v>133</v>
      </c>
      <c r="R58" s="41"/>
      <c r="S58" s="67"/>
    </row>
    <row r="59" spans="2:19" s="1" customFormat="1" ht="16.5" customHeight="1">
      <c r="B59" s="35"/>
      <c r="C59" s="48"/>
      <c r="D59" s="378"/>
      <c r="E59" s="8"/>
      <c r="F59" s="9"/>
      <c r="G59" s="36"/>
      <c r="H59" s="698">
        <f>J41</f>
        <v>0.2</v>
      </c>
      <c r="I59" s="57" t="s">
        <v>49</v>
      </c>
      <c r="J59" s="57">
        <v>2</v>
      </c>
      <c r="K59" s="460" t="s">
        <v>49</v>
      </c>
      <c r="L59" s="461">
        <f>P40</f>
        <v>12.5</v>
      </c>
      <c r="M59" s="78"/>
      <c r="N59" s="57"/>
      <c r="O59" s="78" t="s">
        <v>50</v>
      </c>
      <c r="P59" s="58">
        <f t="shared" si="1"/>
        <v>5</v>
      </c>
      <c r="Q59" s="59" t="s">
        <v>133</v>
      </c>
      <c r="R59" s="41"/>
      <c r="S59" s="67"/>
    </row>
    <row r="60" spans="2:19" s="1" customFormat="1" ht="16.5" customHeight="1">
      <c r="B60" s="35"/>
      <c r="C60" s="48"/>
      <c r="D60" s="378"/>
      <c r="E60" s="8"/>
      <c r="F60" s="9"/>
      <c r="G60" s="36"/>
      <c r="H60" s="508"/>
      <c r="I60" s="460"/>
      <c r="J60" s="461"/>
      <c r="K60" s="460"/>
      <c r="L60" s="461"/>
      <c r="M60" s="78"/>
      <c r="N60" s="57"/>
      <c r="O60" s="704" t="s">
        <v>50</v>
      </c>
      <c r="P60" s="422">
        <f>SUM(P58:P59)</f>
        <v>6.875</v>
      </c>
      <c r="Q60" s="413" t="s">
        <v>133</v>
      </c>
      <c r="R60" s="41"/>
      <c r="S60" s="67"/>
    </row>
    <row r="61" spans="2:19" s="1" customFormat="1" ht="16.5" customHeight="1">
      <c r="B61" s="35"/>
      <c r="C61" s="48"/>
      <c r="D61" s="378">
        <f>RAB!D403</f>
        <v>3</v>
      </c>
      <c r="E61" s="8" t="str">
        <f>RAB!E403</f>
        <v>Kolom Praktis</v>
      </c>
      <c r="F61" s="9"/>
      <c r="G61" s="36"/>
      <c r="H61" s="698">
        <v>4</v>
      </c>
      <c r="I61" s="703" t="s">
        <v>49</v>
      </c>
      <c r="J61" s="703">
        <v>4</v>
      </c>
      <c r="K61" s="702"/>
      <c r="L61" s="703"/>
      <c r="M61" s="703"/>
      <c r="N61" s="57"/>
      <c r="O61" s="704" t="s">
        <v>50</v>
      </c>
      <c r="P61" s="419">
        <f>H61*J61</f>
        <v>16</v>
      </c>
      <c r="Q61" s="705" t="s">
        <v>3</v>
      </c>
      <c r="R61" s="41">
        <f>P61</f>
        <v>16</v>
      </c>
      <c r="S61" s="67" t="s">
        <v>21</v>
      </c>
    </row>
    <row r="62" spans="2:19" s="1" customFormat="1" ht="16.5" customHeight="1">
      <c r="B62" s="35"/>
      <c r="C62" s="48"/>
      <c r="D62" s="378"/>
      <c r="E62" s="8"/>
      <c r="F62" s="9"/>
      <c r="G62" s="36"/>
      <c r="H62" s="508"/>
      <c r="I62" s="460"/>
      <c r="J62" s="461"/>
      <c r="K62" s="460"/>
      <c r="L62" s="461"/>
      <c r="M62" s="78"/>
      <c r="N62" s="57"/>
      <c r="O62" s="78"/>
      <c r="P62" s="61"/>
      <c r="Q62" s="59"/>
      <c r="R62" s="41"/>
      <c r="S62" s="67"/>
    </row>
    <row r="63" spans="2:19" s="1" customFormat="1" ht="16.5" customHeight="1">
      <c r="B63" s="35"/>
      <c r="C63" s="48" t="str">
        <f>RAB!C405</f>
        <v>II</v>
      </c>
      <c r="D63" s="378" t="str">
        <f>RAB!D405</f>
        <v>PEKERJAAN DINDING BATA &amp; KERAMIK</v>
      </c>
      <c r="E63" s="8"/>
      <c r="F63" s="9"/>
      <c r="G63" s="36"/>
      <c r="H63" s="508"/>
      <c r="I63" s="460"/>
      <c r="J63" s="461"/>
      <c r="K63" s="460"/>
      <c r="L63" s="461"/>
      <c r="M63" s="78"/>
      <c r="N63" s="57"/>
      <c r="O63" s="78"/>
      <c r="P63" s="61"/>
      <c r="Q63" s="59"/>
      <c r="R63" s="41"/>
      <c r="S63" s="67"/>
    </row>
    <row r="64" spans="2:19" s="1" customFormat="1" ht="16.5" customHeight="1">
      <c r="B64" s="35"/>
      <c r="C64" s="48"/>
      <c r="D64" s="378">
        <f>RAB!D406</f>
        <v>1</v>
      </c>
      <c r="E64" s="8" t="str">
        <f>RAB!E406</f>
        <v>Pas, Dinding 1/2 Bata 1:4</v>
      </c>
      <c r="F64" s="9"/>
      <c r="G64" s="36"/>
      <c r="H64" s="508"/>
      <c r="I64" s="460"/>
      <c r="J64" s="461"/>
      <c r="K64" s="460"/>
      <c r="L64" s="461"/>
      <c r="M64" s="78"/>
      <c r="N64" s="57"/>
      <c r="O64" s="78"/>
      <c r="P64" s="61"/>
      <c r="Q64" s="59"/>
      <c r="R64" s="41"/>
      <c r="S64" s="67"/>
    </row>
    <row r="65" spans="2:19" s="1" customFormat="1" ht="16.5" customHeight="1">
      <c r="B65" s="35"/>
      <c r="C65" s="48"/>
      <c r="D65" s="378">
        <f>RAB!D407</f>
        <v>2</v>
      </c>
      <c r="E65" s="8" t="str">
        <f>RAB!E407</f>
        <v>Plesteran 1:4</v>
      </c>
      <c r="F65" s="9"/>
      <c r="G65" s="36"/>
      <c r="H65" s="508"/>
      <c r="I65" s="460"/>
      <c r="J65" s="461"/>
      <c r="K65" s="460"/>
      <c r="L65" s="461"/>
      <c r="M65" s="78"/>
      <c r="N65" s="57"/>
      <c r="O65" s="78"/>
      <c r="P65" s="61"/>
      <c r="Q65" s="59"/>
      <c r="R65" s="41"/>
      <c r="S65" s="67"/>
    </row>
    <row r="66" spans="2:19" s="1" customFormat="1" ht="16.5" customHeight="1">
      <c r="B66" s="35"/>
      <c r="C66" s="48"/>
      <c r="D66" s="378">
        <f>RAB!D408</f>
        <v>3</v>
      </c>
      <c r="E66" s="8" t="str">
        <f>RAB!E408</f>
        <v>Acian Dinding</v>
      </c>
      <c r="F66" s="9"/>
      <c r="G66" s="36"/>
      <c r="H66" s="508"/>
      <c r="I66" s="460"/>
      <c r="J66" s="461"/>
      <c r="K66" s="460"/>
      <c r="L66" s="461"/>
      <c r="M66" s="78"/>
      <c r="N66" s="57"/>
      <c r="O66" s="78"/>
      <c r="P66" s="61"/>
      <c r="Q66" s="59"/>
      <c r="R66" s="41"/>
      <c r="S66" s="67"/>
    </row>
    <row r="67" spans="2:19" s="1" customFormat="1" ht="16.5" customHeight="1">
      <c r="B67" s="35"/>
      <c r="C67" s="48"/>
      <c r="D67" s="378">
        <f>RAB!D409</f>
        <v>4</v>
      </c>
      <c r="E67" s="8" t="str">
        <f>RAB!E409</f>
        <v>Pas. Lantai Granite tile unpholised 60x60</v>
      </c>
      <c r="F67" s="9"/>
      <c r="G67" s="36"/>
      <c r="H67" s="508"/>
      <c r="I67" s="460"/>
      <c r="J67" s="461"/>
      <c r="K67" s="460"/>
      <c r="L67" s="461"/>
      <c r="M67" s="78"/>
      <c r="N67" s="57"/>
      <c r="O67" s="78"/>
      <c r="P67" s="61"/>
      <c r="Q67" s="59"/>
      <c r="R67" s="41"/>
      <c r="S67" s="67"/>
    </row>
    <row r="68" spans="2:19" s="1" customFormat="1" ht="16.5" customHeight="1">
      <c r="B68" s="35"/>
      <c r="C68" s="48"/>
      <c r="D68" s="378">
        <f>RAB!D410</f>
        <v>5</v>
      </c>
      <c r="E68" s="8" t="str">
        <f>RAB!E410</f>
        <v>Pas. Dinding Granite tile pholised 60x60</v>
      </c>
      <c r="F68" s="9"/>
      <c r="G68" s="36"/>
      <c r="H68" s="508"/>
      <c r="I68" s="460"/>
      <c r="J68" s="461"/>
      <c r="K68" s="460"/>
      <c r="L68" s="461"/>
      <c r="M68" s="78"/>
      <c r="N68" s="57"/>
      <c r="O68" s="78"/>
      <c r="P68" s="61"/>
      <c r="Q68" s="59"/>
      <c r="R68" s="41"/>
      <c r="S68" s="67"/>
    </row>
    <row r="69" spans="2:19" s="1" customFormat="1" ht="16.5" customHeight="1">
      <c r="B69" s="35"/>
      <c r="C69" s="48"/>
      <c r="D69" s="378"/>
      <c r="E69" s="8"/>
      <c r="F69" s="9"/>
      <c r="G69" s="36"/>
      <c r="H69" s="508"/>
      <c r="I69" s="460"/>
      <c r="J69" s="461"/>
      <c r="K69" s="460"/>
      <c r="L69" s="461"/>
      <c r="M69" s="78"/>
      <c r="N69" s="57"/>
      <c r="O69" s="78"/>
      <c r="P69" s="61"/>
      <c r="Q69" s="59"/>
      <c r="R69" s="41"/>
      <c r="S69" s="67"/>
    </row>
    <row r="70" spans="2:19" s="1" customFormat="1" ht="16.5" customHeight="1">
      <c r="B70" s="35"/>
      <c r="C70" s="48" t="str">
        <f>RAB!C412</f>
        <v>III</v>
      </c>
      <c r="D70" s="378" t="str">
        <f>RAB!D412</f>
        <v>PEKERJAAN PINTU &amp; JENDELA</v>
      </c>
      <c r="E70" s="8"/>
      <c r="F70" s="9"/>
      <c r="G70" s="36"/>
      <c r="H70" s="508"/>
      <c r="I70" s="460"/>
      <c r="J70" s="461"/>
      <c r="K70" s="460"/>
      <c r="L70" s="461"/>
      <c r="M70" s="78"/>
      <c r="N70" s="57"/>
      <c r="O70" s="78"/>
      <c r="P70" s="61"/>
      <c r="Q70" s="59"/>
      <c r="R70" s="41"/>
      <c r="S70" s="67"/>
    </row>
    <row r="71" spans="2:19" s="1" customFormat="1" ht="16.5" customHeight="1">
      <c r="B71" s="35"/>
      <c r="C71" s="48"/>
      <c r="D71" s="378">
        <f>RAB!D413</f>
        <v>1</v>
      </c>
      <c r="E71" s="8" t="str">
        <f>RAB!E413</f>
        <v>Pintu UPVC uk. 70x200cm</v>
      </c>
      <c r="F71" s="9"/>
      <c r="G71" s="36"/>
      <c r="H71" s="508"/>
      <c r="I71" s="460"/>
      <c r="J71" s="461"/>
      <c r="K71" s="460"/>
      <c r="L71" s="461"/>
      <c r="M71" s="78"/>
      <c r="N71" s="57"/>
      <c r="O71" s="78"/>
      <c r="P71" s="61"/>
      <c r="Q71" s="59"/>
      <c r="R71" s="41"/>
      <c r="S71" s="67"/>
    </row>
    <row r="72" spans="2:19" s="1" customFormat="1" ht="16.5" customHeight="1">
      <c r="B72" s="35"/>
      <c r="C72" s="48"/>
      <c r="D72" s="378">
        <f>RAB!D414</f>
        <v>2</v>
      </c>
      <c r="E72" s="8" t="str">
        <f>RAB!E414</f>
        <v>Ventilasi UPVC uk. 70x50cm</v>
      </c>
      <c r="F72" s="9"/>
      <c r="G72" s="36"/>
      <c r="H72" s="508"/>
      <c r="I72" s="460"/>
      <c r="J72" s="461"/>
      <c r="K72" s="460"/>
      <c r="L72" s="461"/>
      <c r="M72" s="78"/>
      <c r="N72" s="57"/>
      <c r="O72" s="78"/>
      <c r="P72" s="61"/>
      <c r="Q72" s="59"/>
      <c r="R72" s="41"/>
      <c r="S72" s="67"/>
    </row>
    <row r="73" spans="2:19" s="1" customFormat="1" ht="16.5" customHeight="1">
      <c r="B73" s="35"/>
      <c r="C73" s="48"/>
      <c r="D73" s="378"/>
      <c r="E73" s="8"/>
      <c r="F73" s="9"/>
      <c r="G73" s="36"/>
      <c r="H73" s="508"/>
      <c r="I73" s="460"/>
      <c r="J73" s="461"/>
      <c r="K73" s="460"/>
      <c r="L73" s="461"/>
      <c r="M73" s="78"/>
      <c r="N73" s="57"/>
      <c r="O73" s="78"/>
      <c r="P73" s="61"/>
      <c r="Q73" s="59"/>
      <c r="R73" s="41"/>
      <c r="S73" s="67"/>
    </row>
    <row r="74" spans="2:19" s="1" customFormat="1" ht="16.5" customHeight="1">
      <c r="B74" s="35"/>
      <c r="C74" s="48" t="str">
        <f>RAB!C416</f>
        <v>IV</v>
      </c>
      <c r="D74" s="378" t="str">
        <f>RAB!D416</f>
        <v>PEKERJAAN PLAFOND</v>
      </c>
      <c r="E74" s="8"/>
      <c r="F74" s="9"/>
      <c r="G74" s="36"/>
      <c r="H74" s="508"/>
      <c r="I74" s="460"/>
      <c r="J74" s="461"/>
      <c r="K74" s="460"/>
      <c r="L74" s="461"/>
      <c r="M74" s="78"/>
      <c r="N74" s="57"/>
      <c r="O74" s="78"/>
      <c r="P74" s="61"/>
      <c r="Q74" s="59"/>
      <c r="R74" s="41"/>
      <c r="S74" s="67"/>
    </row>
    <row r="75" spans="2:19" s="1" customFormat="1" ht="16.5" customHeight="1">
      <c r="B75" s="35"/>
      <c r="C75" s="48"/>
      <c r="D75" s="378">
        <f>RAB!D417</f>
        <v>1</v>
      </c>
      <c r="E75" s="8" t="str">
        <f>RAB!E417</f>
        <v>Rangka Plafond Metal Furing</v>
      </c>
      <c r="F75" s="9"/>
      <c r="G75" s="36"/>
      <c r="H75" s="508"/>
      <c r="I75" s="460"/>
      <c r="J75" s="461"/>
      <c r="K75" s="460"/>
      <c r="L75" s="461"/>
      <c r="M75" s="78"/>
      <c r="N75" s="57"/>
      <c r="O75" s="78"/>
      <c r="P75" s="61"/>
      <c r="Q75" s="59"/>
      <c r="R75" s="41"/>
      <c r="S75" s="67"/>
    </row>
    <row r="76" spans="2:19" s="1" customFormat="1" ht="16.5" customHeight="1">
      <c r="B76" s="35"/>
      <c r="C76" s="48"/>
      <c r="D76" s="378">
        <f>RAB!D418</f>
        <v>2</v>
      </c>
      <c r="E76" s="8" t="str">
        <f>RAB!E418</f>
        <v>Plafond PVC (Toilet)</v>
      </c>
      <c r="F76" s="9"/>
      <c r="G76" s="36"/>
      <c r="H76" s="508"/>
      <c r="I76" s="460"/>
      <c r="J76" s="461"/>
      <c r="K76" s="460"/>
      <c r="L76" s="461"/>
      <c r="M76" s="78"/>
      <c r="N76" s="57"/>
      <c r="O76" s="78"/>
      <c r="P76" s="61"/>
      <c r="Q76" s="59"/>
      <c r="R76" s="41"/>
      <c r="S76" s="67"/>
    </row>
    <row r="77" spans="2:19" s="1" customFormat="1" ht="16.5" customHeight="1">
      <c r="B77" s="35"/>
      <c r="C77" s="48"/>
      <c r="D77" s="378">
        <f>RAB!D419</f>
        <v>3</v>
      </c>
      <c r="E77" s="8" t="str">
        <f>RAB!E419</f>
        <v>List Profil PVC</v>
      </c>
      <c r="F77" s="9"/>
      <c r="G77" s="36"/>
      <c r="H77" s="508"/>
      <c r="I77" s="460"/>
      <c r="J77" s="461"/>
      <c r="K77" s="460"/>
      <c r="L77" s="461"/>
      <c r="M77" s="78"/>
      <c r="N77" s="57"/>
      <c r="O77" s="78"/>
      <c r="P77" s="61"/>
      <c r="Q77" s="59"/>
      <c r="R77" s="41"/>
      <c r="S77" s="67"/>
    </row>
    <row r="78" spans="2:19" s="1" customFormat="1" ht="16.5" customHeight="1">
      <c r="B78" s="35"/>
      <c r="C78" s="48"/>
      <c r="D78" s="378"/>
      <c r="E78" s="8"/>
      <c r="F78" s="9"/>
      <c r="G78" s="36"/>
      <c r="H78" s="508"/>
      <c r="I78" s="460"/>
      <c r="J78" s="461"/>
      <c r="K78" s="460"/>
      <c r="L78" s="461"/>
      <c r="M78" s="78"/>
      <c r="N78" s="57"/>
      <c r="O78" s="78"/>
      <c r="P78" s="61"/>
      <c r="Q78" s="59"/>
      <c r="R78" s="41"/>
      <c r="S78" s="67"/>
    </row>
    <row r="79" spans="2:19" s="1" customFormat="1" ht="16.5" customHeight="1">
      <c r="B79" s="35"/>
      <c r="C79" s="48" t="str">
        <f>RAB!C421</f>
        <v>V</v>
      </c>
      <c r="D79" s="378" t="str">
        <f>RAB!D421</f>
        <v>PEKERJAAN SANITAIR</v>
      </c>
      <c r="E79" s="8"/>
      <c r="F79" s="9"/>
      <c r="G79" s="36"/>
      <c r="H79" s="508"/>
      <c r="I79" s="460"/>
      <c r="J79" s="461"/>
      <c r="K79" s="460"/>
      <c r="L79" s="461"/>
      <c r="M79" s="78"/>
      <c r="N79" s="57"/>
      <c r="O79" s="78"/>
      <c r="P79" s="61"/>
      <c r="Q79" s="59"/>
      <c r="R79" s="41"/>
      <c r="S79" s="67"/>
    </row>
    <row r="80" spans="2:19" s="1" customFormat="1" ht="16.5" customHeight="1">
      <c r="B80" s="35"/>
      <c r="C80" s="48"/>
      <c r="D80" s="378">
        <f>RAB!D422</f>
        <v>1</v>
      </c>
      <c r="E80" s="8" t="str">
        <f>RAB!E422</f>
        <v>Closed Duduk Komplit</v>
      </c>
      <c r="F80" s="9"/>
      <c r="G80" s="36"/>
      <c r="H80" s="508"/>
      <c r="I80" s="460"/>
      <c r="J80" s="461"/>
      <c r="K80" s="460"/>
      <c r="L80" s="461"/>
      <c r="M80" s="78"/>
      <c r="N80" s="57"/>
      <c r="O80" s="78"/>
      <c r="P80" s="61"/>
      <c r="Q80" s="59"/>
      <c r="R80" s="41"/>
      <c r="S80" s="67"/>
    </row>
    <row r="81" spans="2:19" s="1" customFormat="1" ht="16.5" customHeight="1">
      <c r="B81" s="35"/>
      <c r="C81" s="48"/>
      <c r="D81" s="378">
        <f>RAB!D423</f>
        <v>2</v>
      </c>
      <c r="E81" s="8" t="str">
        <f>RAB!E423</f>
        <v>Wastafel Komplit</v>
      </c>
      <c r="F81" s="9"/>
      <c r="G81" s="36"/>
      <c r="H81" s="508"/>
      <c r="I81" s="460"/>
      <c r="J81" s="461"/>
      <c r="K81" s="460"/>
      <c r="L81" s="461"/>
      <c r="M81" s="78"/>
      <c r="N81" s="57"/>
      <c r="O81" s="78"/>
      <c r="P81" s="61"/>
      <c r="Q81" s="59"/>
      <c r="R81" s="41"/>
      <c r="S81" s="67"/>
    </row>
    <row r="82" spans="2:19" s="1" customFormat="1" ht="16.5" customHeight="1">
      <c r="B82" s="35"/>
      <c r="C82" s="48"/>
      <c r="D82" s="378">
        <f>RAB!D424</f>
        <v>3</v>
      </c>
      <c r="E82" s="8" t="str">
        <f>RAB!E424</f>
        <v>Urinoir</v>
      </c>
      <c r="F82" s="9"/>
      <c r="G82" s="36"/>
      <c r="H82" s="508"/>
      <c r="I82" s="460"/>
      <c r="J82" s="461"/>
      <c r="K82" s="460"/>
      <c r="L82" s="461"/>
      <c r="M82" s="78"/>
      <c r="N82" s="57"/>
      <c r="O82" s="78"/>
      <c r="P82" s="61"/>
      <c r="Q82" s="59"/>
      <c r="R82" s="41"/>
      <c r="S82" s="67"/>
    </row>
    <row r="83" spans="2:19" s="1" customFormat="1" ht="16.5" customHeight="1">
      <c r="B83" s="35"/>
      <c r="C83" s="48"/>
      <c r="D83" s="378">
        <f>RAB!D426</f>
        <v>5</v>
      </c>
      <c r="E83" s="8" t="str">
        <f>RAB!E426</f>
        <v>Tempat Sabun</v>
      </c>
      <c r="F83" s="9"/>
      <c r="G83" s="36"/>
      <c r="H83" s="508"/>
      <c r="I83" s="460"/>
      <c r="J83" s="461"/>
      <c r="K83" s="460"/>
      <c r="L83" s="461"/>
      <c r="M83" s="78"/>
      <c r="N83" s="57"/>
      <c r="O83" s="78"/>
      <c r="P83" s="61"/>
      <c r="Q83" s="59"/>
      <c r="R83" s="41"/>
      <c r="S83" s="67"/>
    </row>
    <row r="84" spans="2:19" s="1" customFormat="1" ht="16.5" customHeight="1">
      <c r="B84" s="35"/>
      <c r="C84" s="48"/>
      <c r="D84" s="378">
        <f>RAB!D427</f>
        <v>6</v>
      </c>
      <c r="E84" s="8" t="str">
        <f>RAB!E427</f>
        <v>Shower Closed</v>
      </c>
      <c r="F84" s="9"/>
      <c r="G84" s="36"/>
      <c r="H84" s="508"/>
      <c r="I84" s="460"/>
      <c r="J84" s="461"/>
      <c r="K84" s="460"/>
      <c r="L84" s="461"/>
      <c r="M84" s="78"/>
      <c r="N84" s="57"/>
      <c r="O84" s="78"/>
      <c r="P84" s="61"/>
      <c r="Q84" s="59"/>
      <c r="R84" s="41"/>
      <c r="S84" s="67"/>
    </row>
    <row r="85" spans="2:19" s="1" customFormat="1" ht="16.5" customHeight="1">
      <c r="B85" s="35"/>
      <c r="C85" s="48"/>
      <c r="D85" s="378">
        <f>RAB!D428</f>
        <v>7</v>
      </c>
      <c r="E85" s="8" t="str">
        <f>RAB!E428</f>
        <v>Shower Mandi</v>
      </c>
      <c r="F85" s="9"/>
      <c r="G85" s="36"/>
      <c r="H85" s="508"/>
      <c r="I85" s="460"/>
      <c r="J85" s="461"/>
      <c r="K85" s="460"/>
      <c r="L85" s="461"/>
      <c r="M85" s="78"/>
      <c r="N85" s="57"/>
      <c r="O85" s="78"/>
      <c r="P85" s="61"/>
      <c r="Q85" s="59"/>
      <c r="R85" s="41"/>
      <c r="S85" s="67"/>
    </row>
    <row r="86" spans="2:19" s="1" customFormat="1" ht="16.5" customHeight="1">
      <c r="B86" s="35"/>
      <c r="C86" s="48"/>
      <c r="D86" s="378">
        <f>RAB!D429</f>
        <v>8</v>
      </c>
      <c r="E86" s="8" t="str">
        <f>RAB!E429</f>
        <v>Kran Air Stainless 1/2"</v>
      </c>
      <c r="F86" s="9"/>
      <c r="G86" s="36"/>
      <c r="H86" s="508"/>
      <c r="I86" s="460"/>
      <c r="J86" s="461"/>
      <c r="K86" s="460"/>
      <c r="L86" s="461"/>
      <c r="M86" s="78"/>
      <c r="N86" s="57"/>
      <c r="O86" s="78"/>
      <c r="P86" s="61"/>
      <c r="Q86" s="59"/>
      <c r="R86" s="41"/>
      <c r="S86" s="67"/>
    </row>
    <row r="87" spans="2:19" s="1" customFormat="1" ht="16.5" customHeight="1">
      <c r="B87" s="35"/>
      <c r="C87" s="48"/>
      <c r="D87" s="378"/>
      <c r="E87" s="8"/>
      <c r="F87" s="9"/>
      <c r="G87" s="36"/>
      <c r="H87" s="508"/>
      <c r="I87" s="460"/>
      <c r="J87" s="461"/>
      <c r="K87" s="460"/>
      <c r="L87" s="461"/>
      <c r="M87" s="78"/>
      <c r="N87" s="57"/>
      <c r="O87" s="78"/>
      <c r="P87" s="61"/>
      <c r="Q87" s="59"/>
      <c r="R87" s="41"/>
      <c r="S87" s="67"/>
    </row>
    <row r="88" spans="2:19" s="1" customFormat="1" ht="16.5" customHeight="1">
      <c r="B88" s="35"/>
      <c r="C88" s="48" t="str">
        <f>RAB!C437</f>
        <v>VII</v>
      </c>
      <c r="D88" s="378" t="str">
        <f>RAB!D437</f>
        <v>PEKERJAAN INSTALASI PLUMBING</v>
      </c>
      <c r="E88" s="8"/>
      <c r="F88" s="9"/>
      <c r="G88" s="36"/>
      <c r="H88" s="508"/>
      <c r="I88" s="460"/>
      <c r="J88" s="461"/>
      <c r="K88" s="460"/>
      <c r="L88" s="461"/>
      <c r="M88" s="78"/>
      <c r="N88" s="57"/>
      <c r="O88" s="78"/>
      <c r="P88" s="61"/>
      <c r="Q88" s="59"/>
      <c r="R88" s="41"/>
      <c r="S88" s="67"/>
    </row>
    <row r="89" spans="2:19" s="1" customFormat="1" ht="16.5" customHeight="1">
      <c r="B89" s="35"/>
      <c r="C89" s="48"/>
      <c r="D89" s="378">
        <f>RAB!D438</f>
        <v>1</v>
      </c>
      <c r="E89" s="8" t="str">
        <f>RAB!E438</f>
        <v>Pipa 1/2"</v>
      </c>
      <c r="F89" s="9"/>
      <c r="G89" s="36"/>
      <c r="H89" s="508"/>
      <c r="I89" s="460"/>
      <c r="J89" s="461"/>
      <c r="K89" s="460"/>
      <c r="L89" s="461"/>
      <c r="M89" s="78"/>
      <c r="N89" s="57"/>
      <c r="O89" s="78"/>
      <c r="P89" s="61"/>
      <c r="Q89" s="59"/>
      <c r="R89" s="41"/>
      <c r="S89" s="67"/>
    </row>
    <row r="90" spans="2:19" s="1" customFormat="1" ht="16.5" customHeight="1">
      <c r="B90" s="35"/>
      <c r="C90" s="48"/>
      <c r="D90" s="378">
        <f>RAB!D439</f>
        <v>2</v>
      </c>
      <c r="E90" s="8" t="str">
        <f>RAB!E439</f>
        <v>Pipa 1"</v>
      </c>
      <c r="F90" s="9"/>
      <c r="G90" s="36"/>
      <c r="H90" s="508"/>
      <c r="I90" s="460"/>
      <c r="J90" s="461"/>
      <c r="K90" s="460"/>
      <c r="L90" s="461"/>
      <c r="M90" s="78"/>
      <c r="N90" s="57"/>
      <c r="O90" s="78"/>
      <c r="P90" s="61"/>
      <c r="Q90" s="59"/>
      <c r="R90" s="41"/>
      <c r="S90" s="67"/>
    </row>
    <row r="91" spans="2:19" s="1" customFormat="1" ht="16.5" customHeight="1">
      <c r="B91" s="35"/>
      <c r="C91" s="48"/>
      <c r="D91" s="378">
        <f>RAB!D440</f>
        <v>3</v>
      </c>
      <c r="E91" s="8" t="str">
        <f>RAB!E440</f>
        <v>Pipa 2"</v>
      </c>
      <c r="F91" s="9"/>
      <c r="G91" s="36"/>
      <c r="H91" s="508"/>
      <c r="I91" s="460"/>
      <c r="J91" s="461"/>
      <c r="K91" s="460"/>
      <c r="L91" s="461"/>
      <c r="M91" s="78"/>
      <c r="N91" s="57"/>
      <c r="O91" s="78"/>
      <c r="P91" s="61"/>
      <c r="Q91" s="59"/>
      <c r="R91" s="41"/>
      <c r="S91" s="67"/>
    </row>
    <row r="92" spans="2:19" s="1" customFormat="1" ht="16.5" customHeight="1">
      <c r="B92" s="35"/>
      <c r="C92" s="48"/>
      <c r="D92" s="378">
        <f>RAB!D441</f>
        <v>4</v>
      </c>
      <c r="E92" s="8" t="str">
        <f>RAB!E441</f>
        <v>Pipa 3"</v>
      </c>
      <c r="F92" s="9"/>
      <c r="G92" s="36"/>
      <c r="H92" s="508"/>
      <c r="I92" s="460"/>
      <c r="J92" s="461"/>
      <c r="K92" s="460"/>
      <c r="L92" s="461"/>
      <c r="M92" s="78"/>
      <c r="N92" s="57"/>
      <c r="O92" s="78"/>
      <c r="P92" s="61"/>
      <c r="Q92" s="59"/>
      <c r="R92" s="41"/>
      <c r="S92" s="67"/>
    </row>
    <row r="93" spans="2:19" s="1" customFormat="1" ht="16.5" customHeight="1">
      <c r="B93" s="35"/>
      <c r="C93" s="48"/>
      <c r="D93" s="378">
        <f>RAB!D442</f>
        <v>5</v>
      </c>
      <c r="E93" s="8" t="str">
        <f>RAB!E442</f>
        <v>Bak Kontrol</v>
      </c>
      <c r="F93" s="9"/>
      <c r="G93" s="36"/>
      <c r="H93" s="508"/>
      <c r="I93" s="460"/>
      <c r="J93" s="461"/>
      <c r="K93" s="460"/>
      <c r="L93" s="461"/>
      <c r="M93" s="78"/>
      <c r="N93" s="57"/>
      <c r="O93" s="78"/>
      <c r="P93" s="61"/>
      <c r="Q93" s="59"/>
      <c r="R93" s="41"/>
      <c r="S93" s="67"/>
    </row>
    <row r="94" spans="2:19" s="1" customFormat="1" ht="16.5" customHeight="1">
      <c r="B94" s="35"/>
      <c r="C94" s="48"/>
      <c r="D94" s="378"/>
      <c r="E94" s="8"/>
      <c r="F94" s="9"/>
      <c r="G94" s="36"/>
      <c r="H94" s="508"/>
      <c r="I94" s="460"/>
      <c r="J94" s="461"/>
      <c r="K94" s="460"/>
      <c r="L94" s="461"/>
      <c r="M94" s="78"/>
      <c r="N94" s="57"/>
      <c r="O94" s="78"/>
      <c r="P94" s="61"/>
      <c r="Q94" s="59"/>
      <c r="R94" s="41"/>
      <c r="S94" s="67"/>
    </row>
    <row r="95" spans="2:19" s="1" customFormat="1" ht="16.5" customHeight="1">
      <c r="B95" s="35"/>
      <c r="C95" s="48" t="str">
        <f>RAB!C444</f>
        <v>VIII</v>
      </c>
      <c r="D95" s="378" t="str">
        <f>RAB!D444</f>
        <v>PEKERJAAN PENGECATAN</v>
      </c>
      <c r="E95" s="8"/>
      <c r="F95" s="9"/>
      <c r="G95" s="36"/>
      <c r="H95" s="508"/>
      <c r="I95" s="460"/>
      <c r="J95" s="461"/>
      <c r="K95" s="460"/>
      <c r="L95" s="461"/>
      <c r="M95" s="78"/>
      <c r="N95" s="57"/>
      <c r="O95" s="78"/>
      <c r="P95" s="61"/>
      <c r="Q95" s="59"/>
      <c r="R95" s="41"/>
      <c r="S95" s="67"/>
    </row>
    <row r="96" spans="2:19" s="1" customFormat="1" ht="16.5" customHeight="1">
      <c r="B96" s="35"/>
      <c r="C96" s="48"/>
      <c r="D96" s="378">
        <f>RAB!D445</f>
        <v>1</v>
      </c>
      <c r="E96" s="8" t="str">
        <f>RAB!E445</f>
        <v>Pengecatan Cat Tembok Dinding Interior</v>
      </c>
      <c r="F96" s="9"/>
      <c r="G96" s="36"/>
      <c r="H96" s="508"/>
      <c r="I96" s="460"/>
      <c r="J96" s="461"/>
      <c r="K96" s="460"/>
      <c r="L96" s="461"/>
      <c r="M96" s="78"/>
      <c r="N96" s="57"/>
      <c r="O96" s="78"/>
      <c r="P96" s="61"/>
      <c r="Q96" s="59"/>
      <c r="R96" s="41"/>
      <c r="S96" s="67"/>
    </row>
    <row r="97" spans="2:20" s="1" customFormat="1" ht="16.5" customHeight="1">
      <c r="B97" s="35"/>
      <c r="C97" s="48"/>
      <c r="D97" s="378"/>
      <c r="E97" s="8"/>
      <c r="F97" s="9"/>
      <c r="G97" s="36"/>
      <c r="H97" s="508"/>
      <c r="I97" s="460"/>
      <c r="J97" s="461"/>
      <c r="K97" s="460"/>
      <c r="L97" s="461"/>
      <c r="M97" s="78"/>
      <c r="N97" s="57"/>
      <c r="O97" s="78"/>
      <c r="P97" s="61"/>
      <c r="Q97" s="59"/>
      <c r="R97" s="41"/>
      <c r="S97" s="67"/>
    </row>
    <row r="98" spans="2:20" s="464" customFormat="1" ht="19.350000000000001" customHeight="1">
      <c r="B98" s="468" t="str">
        <f>RAB!B449</f>
        <v>H</v>
      </c>
      <c r="C98" s="469" t="str">
        <f>RAB!C449</f>
        <v>PEKERJAAN REHAB LOBBY VIP</v>
      </c>
      <c r="D98" s="470"/>
      <c r="E98" s="471"/>
      <c r="F98" s="471"/>
      <c r="G98" s="472"/>
      <c r="H98" s="473"/>
      <c r="I98" s="474"/>
      <c r="J98" s="475"/>
      <c r="K98" s="474"/>
      <c r="L98" s="475"/>
      <c r="M98" s="474"/>
      <c r="N98" s="475"/>
      <c r="O98" s="476"/>
      <c r="P98" s="476"/>
      <c r="Q98" s="476"/>
      <c r="R98" s="477"/>
      <c r="S98" s="478"/>
    </row>
    <row r="99" spans="2:20" s="1" customFormat="1" ht="16.5" customHeight="1">
      <c r="B99" s="6"/>
      <c r="C99" s="15" t="str">
        <f>RAB!C450</f>
        <v>I</v>
      </c>
      <c r="D99" s="33" t="str">
        <f>RAB!D450</f>
        <v>PEKERJAAN DINDING PARTISI</v>
      </c>
      <c r="E99" s="37"/>
      <c r="F99" s="7"/>
      <c r="G99" s="22"/>
      <c r="H99" s="392"/>
      <c r="I99" s="460"/>
      <c r="J99" s="463"/>
      <c r="K99" s="78"/>
      <c r="L99" s="57"/>
      <c r="M99" s="78"/>
      <c r="N99" s="57"/>
      <c r="O99" s="78"/>
      <c r="P99" s="61"/>
      <c r="Q99" s="413"/>
      <c r="R99" s="403"/>
      <c r="S99" s="404"/>
      <c r="T99" s="405"/>
    </row>
    <row r="100" spans="2:20" s="1" customFormat="1" ht="16.5" customHeight="1">
      <c r="B100" s="6"/>
      <c r="C100" s="15"/>
      <c r="D100" s="33">
        <f>RAB!D451</f>
        <v>1</v>
      </c>
      <c r="E100" s="37" t="str">
        <f>RAB!E451</f>
        <v>Pas. Rangka Dinding Baja Ringan</v>
      </c>
      <c r="F100" s="7"/>
      <c r="G100" s="22"/>
      <c r="H100" s="508"/>
      <c r="I100" s="460"/>
      <c r="J100" s="461"/>
      <c r="K100" s="460"/>
      <c r="L100" s="461"/>
      <c r="M100" s="78"/>
      <c r="N100" s="57"/>
      <c r="O100" s="78"/>
      <c r="P100" s="61"/>
      <c r="Q100" s="59"/>
      <c r="R100" s="41">
        <v>1</v>
      </c>
      <c r="S100" s="67" t="s">
        <v>20</v>
      </c>
      <c r="T100" s="405"/>
    </row>
    <row r="101" spans="2:20" s="1" customFormat="1" ht="16.5" customHeight="1">
      <c r="B101" s="6"/>
      <c r="C101" s="15"/>
      <c r="D101" s="33">
        <f>RAB!D452</f>
        <v>2</v>
      </c>
      <c r="E101" s="37" t="str">
        <f>RAB!E452</f>
        <v>Pas. Dinding Partisi Gypsumboard</v>
      </c>
      <c r="F101" s="7"/>
      <c r="G101" s="22"/>
      <c r="H101" s="508"/>
      <c r="I101" s="460"/>
      <c r="J101" s="461"/>
      <c r="K101" s="460"/>
      <c r="L101" s="461"/>
      <c r="M101" s="78"/>
      <c r="N101" s="57"/>
      <c r="O101" s="78"/>
      <c r="P101" s="61"/>
      <c r="Q101" s="59"/>
      <c r="R101" s="41">
        <v>1</v>
      </c>
      <c r="S101" s="67" t="s">
        <v>20</v>
      </c>
      <c r="T101" s="405"/>
    </row>
    <row r="102" spans="2:20" s="1" customFormat="1" ht="16.5" customHeight="1">
      <c r="B102" s="6"/>
      <c r="C102" s="15"/>
      <c r="D102" s="33">
        <f>RAB!D453</f>
        <v>3</v>
      </c>
      <c r="E102" s="37" t="str">
        <f>RAB!E453</f>
        <v>Pas. Tirai Gorden Gulung</v>
      </c>
      <c r="F102" s="7"/>
      <c r="G102" s="22"/>
      <c r="H102" s="508"/>
      <c r="I102" s="460"/>
      <c r="J102" s="461"/>
      <c r="K102" s="460"/>
      <c r="L102" s="461"/>
      <c r="M102" s="78"/>
      <c r="N102" s="57"/>
      <c r="O102" s="78"/>
      <c r="P102" s="61"/>
      <c r="Q102" s="59"/>
      <c r="R102" s="41"/>
      <c r="S102" s="67"/>
      <c r="T102" s="405"/>
    </row>
    <row r="103" spans="2:20" s="1" customFormat="1" ht="16.5" customHeight="1">
      <c r="B103" s="6"/>
      <c r="C103" s="15"/>
      <c r="D103" s="33"/>
      <c r="E103" s="37"/>
      <c r="F103" s="7"/>
      <c r="G103" s="22"/>
      <c r="H103" s="508"/>
      <c r="I103" s="460"/>
      <c r="J103" s="461"/>
      <c r="K103" s="460"/>
      <c r="L103" s="461"/>
      <c r="M103" s="78"/>
      <c r="N103" s="57"/>
      <c r="O103" s="78"/>
      <c r="P103" s="61"/>
      <c r="Q103" s="59"/>
      <c r="R103" s="41"/>
      <c r="S103" s="67"/>
      <c r="T103" s="405"/>
    </row>
    <row r="104" spans="2:20" s="1" customFormat="1" ht="16.5" customHeight="1">
      <c r="B104" s="509"/>
      <c r="C104" s="82" t="str">
        <f>RAB!C455</f>
        <v>II</v>
      </c>
      <c r="D104" s="510" t="str">
        <f>RAB!D455</f>
        <v>PEKERJAAN PINTU</v>
      </c>
      <c r="E104" s="511"/>
      <c r="F104" s="512"/>
      <c r="G104" s="513"/>
      <c r="H104" s="399"/>
      <c r="I104" s="78"/>
      <c r="J104" s="57"/>
      <c r="K104" s="78"/>
      <c r="L104" s="57"/>
      <c r="M104" s="78"/>
      <c r="N104" s="57"/>
      <c r="O104" s="78"/>
      <c r="P104" s="61"/>
      <c r="Q104" s="59"/>
      <c r="R104" s="41">
        <f>P106</f>
        <v>207</v>
      </c>
      <c r="S104" s="67" t="s">
        <v>133</v>
      </c>
      <c r="T104" s="405"/>
    </row>
    <row r="105" spans="2:20" s="1" customFormat="1" ht="16.5" customHeight="1">
      <c r="B105" s="509"/>
      <c r="C105" s="82"/>
      <c r="D105" s="510">
        <f>RAB!D456</f>
        <v>1</v>
      </c>
      <c r="E105" s="511" t="str">
        <f>RAB!E456</f>
        <v>Pintu Kaca UPVC Uk 2x80x210 cm</v>
      </c>
      <c r="F105" s="512"/>
      <c r="G105" s="513"/>
      <c r="H105" s="392" t="s">
        <v>428</v>
      </c>
      <c r="I105" s="460"/>
      <c r="J105" s="461" t="s">
        <v>446</v>
      </c>
      <c r="K105" s="78"/>
      <c r="L105" s="57"/>
      <c r="M105" s="78"/>
      <c r="N105" s="57"/>
      <c r="O105" s="79"/>
      <c r="P105" s="61"/>
      <c r="Q105" s="59"/>
      <c r="R105" s="41"/>
      <c r="S105" s="67"/>
      <c r="T105" s="405"/>
    </row>
    <row r="106" spans="2:20" s="1" customFormat="1" ht="16.5" customHeight="1">
      <c r="B106" s="509"/>
      <c r="C106" s="82"/>
      <c r="D106" s="510" t="e">
        <f>RAB!#REF!</f>
        <v>#REF!</v>
      </c>
      <c r="E106" s="511" t="e">
        <f>RAB!#REF!</f>
        <v>#REF!</v>
      </c>
      <c r="F106" s="512"/>
      <c r="G106" s="513"/>
      <c r="H106" s="392">
        <v>207</v>
      </c>
      <c r="I106" s="460" t="s">
        <v>49</v>
      </c>
      <c r="J106" s="461">
        <v>1</v>
      </c>
      <c r="K106" s="78"/>
      <c r="L106" s="57"/>
      <c r="M106" s="78"/>
      <c r="N106" s="57"/>
      <c r="O106" s="78" t="s">
        <v>50</v>
      </c>
      <c r="P106" s="61">
        <f>H106*J106</f>
        <v>207</v>
      </c>
      <c r="Q106" s="413" t="s">
        <v>133</v>
      </c>
      <c r="R106" s="41"/>
      <c r="S106" s="67"/>
      <c r="T106" s="405"/>
    </row>
    <row r="107" spans="2:20" s="1" customFormat="1" ht="16.5" customHeight="1">
      <c r="B107" s="509"/>
      <c r="C107" s="82"/>
      <c r="D107" s="510" t="e">
        <f>RAB!#REF!</f>
        <v>#REF!</v>
      </c>
      <c r="E107" s="511" t="e">
        <f>RAB!#REF!</f>
        <v>#REF!</v>
      </c>
      <c r="F107" s="512"/>
      <c r="G107" s="513"/>
      <c r="H107" s="508"/>
      <c r="I107" s="460"/>
      <c r="J107" s="461"/>
      <c r="K107" s="460"/>
      <c r="L107" s="461"/>
      <c r="M107" s="78"/>
      <c r="N107" s="57"/>
      <c r="O107" s="78"/>
      <c r="P107" s="61"/>
      <c r="Q107" s="59"/>
      <c r="R107" s="41"/>
      <c r="S107" s="67"/>
      <c r="T107" s="405"/>
    </row>
    <row r="108" spans="2:20" s="1" customFormat="1" ht="16.5" customHeight="1">
      <c r="B108" s="509"/>
      <c r="C108" s="82"/>
      <c r="D108" s="510" t="e">
        <f>RAB!#REF!</f>
        <v>#REF!</v>
      </c>
      <c r="E108" s="511" t="e">
        <f>RAB!#REF!</f>
        <v>#REF!</v>
      </c>
      <c r="F108" s="512"/>
      <c r="G108" s="513"/>
      <c r="H108" s="508"/>
      <c r="I108" s="460"/>
      <c r="J108" s="461"/>
      <c r="K108" s="460"/>
      <c r="L108" s="461"/>
      <c r="M108" s="78"/>
      <c r="N108" s="57"/>
      <c r="O108" s="78"/>
      <c r="P108" s="61"/>
      <c r="Q108" s="59"/>
      <c r="R108" s="41">
        <f>R104</f>
        <v>207</v>
      </c>
      <c r="S108" s="67" t="s">
        <v>133</v>
      </c>
      <c r="T108" s="405"/>
    </row>
    <row r="109" spans="2:20" s="1" customFormat="1" ht="16.5" customHeight="1">
      <c r="B109" s="509"/>
      <c r="C109" s="82"/>
      <c r="D109" s="510" t="e">
        <f>RAB!#REF!</f>
        <v>#REF!</v>
      </c>
      <c r="E109" s="511" t="e">
        <f>RAB!#REF!</f>
        <v>#REF!</v>
      </c>
      <c r="F109" s="512"/>
      <c r="G109" s="513"/>
      <c r="H109" s="508"/>
      <c r="I109" s="460"/>
      <c r="J109" s="461"/>
      <c r="K109" s="460"/>
      <c r="L109" s="461"/>
      <c r="M109" s="78"/>
      <c r="N109" s="57"/>
      <c r="O109" s="78"/>
      <c r="P109" s="61"/>
      <c r="Q109" s="59"/>
      <c r="R109" s="41">
        <v>59.5</v>
      </c>
      <c r="S109" s="67" t="s">
        <v>21</v>
      </c>
      <c r="T109" s="405"/>
    </row>
    <row r="110" spans="2:20" s="1" customFormat="1" ht="16.5" customHeight="1">
      <c r="B110" s="509"/>
      <c r="C110" s="82"/>
      <c r="D110" s="510"/>
      <c r="E110" s="511"/>
      <c r="F110" s="512"/>
      <c r="G110" s="513"/>
      <c r="H110" s="508"/>
      <c r="I110" s="460"/>
      <c r="J110" s="461"/>
      <c r="K110" s="460"/>
      <c r="L110" s="461"/>
      <c r="M110" s="78"/>
      <c r="N110" s="57"/>
      <c r="O110" s="78"/>
      <c r="P110" s="61"/>
      <c r="Q110" s="59"/>
      <c r="R110" s="41"/>
      <c r="S110" s="67"/>
      <c r="T110" s="405"/>
    </row>
    <row r="111" spans="2:20" s="1" customFormat="1" ht="16.5" customHeight="1">
      <c r="B111" s="509"/>
      <c r="C111" s="82" t="str">
        <f>RAB!C458</f>
        <v>III</v>
      </c>
      <c r="D111" s="510" t="str">
        <f>RAB!D458</f>
        <v>PEKERJAAN ATAP &amp; PLAFOND</v>
      </c>
      <c r="E111" s="511"/>
      <c r="F111" s="512"/>
      <c r="G111" s="513"/>
      <c r="H111" s="508"/>
      <c r="I111" s="460"/>
      <c r="J111" s="461"/>
      <c r="K111" s="460"/>
      <c r="L111" s="461"/>
      <c r="M111" s="78"/>
      <c r="N111" s="57"/>
      <c r="O111" s="78"/>
      <c r="P111" s="61"/>
      <c r="Q111" s="59"/>
      <c r="R111" s="41"/>
      <c r="S111" s="67"/>
      <c r="T111" s="405"/>
    </row>
    <row r="112" spans="2:20" s="1" customFormat="1" ht="16.5" customHeight="1">
      <c r="B112" s="509"/>
      <c r="C112" s="82"/>
      <c r="D112" s="510">
        <f>RAB!D459</f>
        <v>1</v>
      </c>
      <c r="E112" s="511" t="str">
        <f>RAB!E459</f>
        <v>Listplank Motif Melayu 60cm</v>
      </c>
      <c r="F112" s="512"/>
      <c r="G112" s="513"/>
      <c r="H112" s="399"/>
      <c r="I112" s="78"/>
      <c r="J112" s="57"/>
      <c r="K112" s="78"/>
      <c r="L112" s="57"/>
      <c r="M112" s="78"/>
      <c r="N112" s="57"/>
      <c r="O112" s="78"/>
      <c r="P112" s="61"/>
      <c r="Q112" s="59"/>
      <c r="R112" s="41">
        <f>P114</f>
        <v>238</v>
      </c>
      <c r="S112" s="67" t="s">
        <v>133</v>
      </c>
      <c r="T112" s="405"/>
    </row>
    <row r="113" spans="2:20" s="1" customFormat="1" ht="16.5" customHeight="1">
      <c r="B113" s="509"/>
      <c r="C113" s="82"/>
      <c r="D113" s="510">
        <f>RAB!D460</f>
        <v>2</v>
      </c>
      <c r="E113" s="511" t="str">
        <f>RAB!E460</f>
        <v>Listplank Motif Melayu 30cm</v>
      </c>
      <c r="F113" s="512"/>
      <c r="G113" s="513"/>
      <c r="H113" s="392" t="s">
        <v>428</v>
      </c>
      <c r="I113" s="460"/>
      <c r="J113" s="461" t="s">
        <v>447</v>
      </c>
      <c r="K113" s="78"/>
      <c r="L113" s="57"/>
      <c r="M113" s="78"/>
      <c r="N113" s="57"/>
      <c r="O113" s="79"/>
      <c r="P113" s="61"/>
      <c r="Q113" s="59"/>
      <c r="R113" s="41"/>
      <c r="S113" s="67"/>
      <c r="T113" s="405"/>
    </row>
    <row r="114" spans="2:20" s="1" customFormat="1" ht="16.5" customHeight="1">
      <c r="B114" s="509"/>
      <c r="C114" s="82"/>
      <c r="D114" s="510">
        <f>RAB!D461</f>
        <v>3</v>
      </c>
      <c r="E114" s="511" t="str">
        <f>RAB!E461</f>
        <v>Rangka Plafond Metal Furing</v>
      </c>
      <c r="F114" s="512"/>
      <c r="G114" s="513"/>
      <c r="H114" s="392">
        <f>R109</f>
        <v>59.5</v>
      </c>
      <c r="I114" s="460" t="s">
        <v>49</v>
      </c>
      <c r="J114" s="461">
        <v>4</v>
      </c>
      <c r="K114" s="78"/>
      <c r="L114" s="57"/>
      <c r="M114" s="78"/>
      <c r="N114" s="57"/>
      <c r="O114" s="78" t="s">
        <v>50</v>
      </c>
      <c r="P114" s="61">
        <f>H114*J114</f>
        <v>238</v>
      </c>
      <c r="Q114" s="413" t="s">
        <v>133</v>
      </c>
      <c r="R114" s="41"/>
      <c r="S114" s="67"/>
      <c r="T114" s="405"/>
    </row>
    <row r="115" spans="2:20" s="1" customFormat="1" ht="16.5" customHeight="1">
      <c r="B115" s="509"/>
      <c r="C115" s="82"/>
      <c r="D115" s="510">
        <f>RAB!D462</f>
        <v>4</v>
      </c>
      <c r="E115" s="511" t="str">
        <f>RAB!E462</f>
        <v>Pas. Plafond PVC</v>
      </c>
      <c r="F115" s="512"/>
      <c r="G115" s="513"/>
      <c r="H115" s="508"/>
      <c r="I115" s="460"/>
      <c r="J115" s="461"/>
      <c r="K115" s="460"/>
      <c r="L115" s="461"/>
      <c r="M115" s="78"/>
      <c r="N115" s="57"/>
      <c r="O115" s="78"/>
      <c r="P115" s="61"/>
      <c r="Q115" s="59"/>
      <c r="R115" s="41"/>
      <c r="S115" s="67"/>
      <c r="T115" s="405"/>
    </row>
    <row r="116" spans="2:20" s="1" customFormat="1" ht="16.5" customHeight="1">
      <c r="B116" s="509"/>
      <c r="C116" s="82"/>
      <c r="D116" s="510">
        <f>RAB!D463</f>
        <v>5</v>
      </c>
      <c r="E116" s="511" t="str">
        <f>RAB!E463</f>
        <v>List Profil PVC</v>
      </c>
      <c r="F116" s="512"/>
      <c r="G116" s="513"/>
      <c r="H116" s="508"/>
      <c r="I116" s="460"/>
      <c r="J116" s="461"/>
      <c r="K116" s="460"/>
      <c r="L116" s="461"/>
      <c r="M116" s="78"/>
      <c r="N116" s="57"/>
      <c r="O116" s="78"/>
      <c r="P116" s="61"/>
      <c r="Q116" s="59"/>
      <c r="R116" s="41">
        <f>R108</f>
        <v>207</v>
      </c>
      <c r="S116" s="67" t="s">
        <v>133</v>
      </c>
      <c r="T116" s="405"/>
    </row>
    <row r="117" spans="2:20" s="1" customFormat="1" ht="16.5" customHeight="1">
      <c r="B117" s="509"/>
      <c r="C117" s="82"/>
      <c r="D117" s="510"/>
      <c r="E117" s="511"/>
      <c r="F117" s="512"/>
      <c r="G117" s="513"/>
      <c r="H117" s="392"/>
      <c r="I117" s="460"/>
      <c r="J117" s="461"/>
      <c r="K117" s="461"/>
      <c r="L117" s="461"/>
      <c r="M117" s="460"/>
      <c r="N117" s="461"/>
      <c r="O117" s="514"/>
      <c r="P117" s="515"/>
      <c r="Q117" s="424"/>
      <c r="R117" s="425"/>
      <c r="S117" s="426"/>
      <c r="T117" s="405"/>
    </row>
    <row r="118" spans="2:20" s="1" customFormat="1" ht="16.5" customHeight="1">
      <c r="B118" s="509"/>
      <c r="C118" s="82" t="str">
        <f>RAB!C465</f>
        <v>IV</v>
      </c>
      <c r="D118" s="510" t="str">
        <f>RAB!D465</f>
        <v>PEKERJAAN PENGECATAN</v>
      </c>
      <c r="E118" s="511"/>
      <c r="F118" s="512"/>
      <c r="G118" s="513"/>
      <c r="H118" s="392"/>
      <c r="I118" s="460"/>
      <c r="J118" s="461"/>
      <c r="K118" s="461"/>
      <c r="L118" s="461"/>
      <c r="M118" s="460"/>
      <c r="N118" s="461"/>
      <c r="O118" s="514"/>
      <c r="P118" s="515"/>
      <c r="Q118" s="424"/>
      <c r="R118" s="425"/>
      <c r="S118" s="426"/>
      <c r="T118" s="405"/>
    </row>
    <row r="119" spans="2:20" s="1" customFormat="1" ht="16.5" customHeight="1">
      <c r="B119" s="509"/>
      <c r="C119" s="82"/>
      <c r="D119" s="510">
        <f>RAB!D466</f>
        <v>1</v>
      </c>
      <c r="E119" s="511" t="str">
        <f>RAB!E466</f>
        <v>Pengecatan Cat Tembok Dinding Interior (Dinding Partisi)</v>
      </c>
      <c r="F119" s="512"/>
      <c r="G119" s="513"/>
      <c r="H119" s="392"/>
      <c r="I119" s="460"/>
      <c r="J119" s="461"/>
      <c r="K119" s="461"/>
      <c r="L119" s="461"/>
      <c r="M119" s="460"/>
      <c r="N119" s="461"/>
      <c r="O119" s="514"/>
      <c r="P119" s="515"/>
      <c r="Q119" s="424"/>
      <c r="R119" s="425"/>
      <c r="S119" s="426"/>
      <c r="T119" s="405"/>
    </row>
    <row r="120" spans="2:20" s="1" customFormat="1" ht="16.5" customHeight="1">
      <c r="B120" s="509"/>
      <c r="C120" s="82"/>
      <c r="D120" s="510"/>
      <c r="E120" s="511"/>
      <c r="F120" s="512"/>
      <c r="G120" s="513"/>
      <c r="H120" s="392"/>
      <c r="I120" s="460"/>
      <c r="J120" s="461"/>
      <c r="K120" s="461"/>
      <c r="L120" s="461"/>
      <c r="M120" s="460"/>
      <c r="N120" s="461"/>
      <c r="O120" s="514"/>
      <c r="P120" s="515"/>
      <c r="Q120" s="424"/>
      <c r="R120" s="425"/>
      <c r="S120" s="426"/>
      <c r="T120" s="405"/>
    </row>
    <row r="121" spans="2:20" s="1" customFormat="1" ht="16.5" customHeight="1">
      <c r="B121" s="509"/>
      <c r="C121" s="82"/>
      <c r="D121" s="510"/>
      <c r="E121" s="511"/>
      <c r="F121" s="512"/>
      <c r="G121" s="513"/>
      <c r="H121" s="392"/>
      <c r="I121" s="460"/>
      <c r="J121" s="461"/>
      <c r="K121" s="461"/>
      <c r="L121" s="461"/>
      <c r="M121" s="460"/>
      <c r="N121" s="461"/>
      <c r="O121" s="514"/>
      <c r="P121" s="515"/>
      <c r="Q121" s="424"/>
      <c r="R121" s="425"/>
      <c r="S121" s="426"/>
      <c r="T121" s="405"/>
    </row>
    <row r="122" spans="2:20" s="464" customFormat="1" ht="19.350000000000001" customHeight="1">
      <c r="B122" s="468" t="str">
        <f>RAB!B469</f>
        <v>I</v>
      </c>
      <c r="C122" s="469" t="str">
        <f>RAB!C469</f>
        <v>PEKERJAAN REHAB LOBBY SAMPING</v>
      </c>
      <c r="D122" s="470"/>
      <c r="E122" s="471"/>
      <c r="F122" s="471"/>
      <c r="G122" s="472"/>
      <c r="H122" s="473"/>
      <c r="I122" s="474"/>
      <c r="J122" s="475"/>
      <c r="K122" s="474"/>
      <c r="L122" s="475"/>
      <c r="M122" s="474"/>
      <c r="N122" s="475"/>
      <c r="O122" s="476"/>
      <c r="P122" s="476"/>
      <c r="Q122" s="476"/>
      <c r="R122" s="477"/>
      <c r="S122" s="478"/>
    </row>
    <row r="123" spans="2:20" s="1" customFormat="1" ht="16.5" customHeight="1">
      <c r="B123" s="509"/>
      <c r="C123" s="82" t="e">
        <f>RAB!#REF!</f>
        <v>#REF!</v>
      </c>
      <c r="D123" s="510" t="e">
        <f>RAB!#REF!</f>
        <v>#REF!</v>
      </c>
      <c r="E123" s="511"/>
      <c r="F123" s="512"/>
      <c r="G123" s="513"/>
      <c r="H123" s="392"/>
      <c r="I123" s="460"/>
      <c r="J123" s="461"/>
      <c r="K123" s="461"/>
      <c r="L123" s="461"/>
      <c r="M123" s="460"/>
      <c r="N123" s="461"/>
      <c r="O123" s="514"/>
      <c r="P123" s="515"/>
      <c r="Q123" s="424"/>
      <c r="R123" s="425"/>
      <c r="S123" s="426"/>
      <c r="T123" s="405"/>
    </row>
    <row r="124" spans="2:20" s="1" customFormat="1" ht="16.5" customHeight="1">
      <c r="B124" s="509"/>
      <c r="C124" s="82"/>
      <c r="D124" s="510" t="e">
        <f>RAB!#REF!</f>
        <v>#REF!</v>
      </c>
      <c r="E124" s="511" t="e">
        <f>RAB!#REF!</f>
        <v>#REF!</v>
      </c>
      <c r="F124" s="512"/>
      <c r="G124" s="513"/>
      <c r="H124" s="392"/>
      <c r="I124" s="460"/>
      <c r="J124" s="461"/>
      <c r="K124" s="461"/>
      <c r="L124" s="461"/>
      <c r="M124" s="460"/>
      <c r="N124" s="461"/>
      <c r="O124" s="514"/>
      <c r="P124" s="515"/>
      <c r="Q124" s="424"/>
      <c r="R124" s="425"/>
      <c r="S124" s="426"/>
      <c r="T124" s="405"/>
    </row>
    <row r="125" spans="2:20" s="1" customFormat="1" ht="16.5" customHeight="1">
      <c r="B125" s="509"/>
      <c r="C125" s="82"/>
      <c r="D125" s="510"/>
      <c r="E125" s="511"/>
      <c r="F125" s="512"/>
      <c r="G125" s="513"/>
      <c r="H125" s="392"/>
      <c r="I125" s="460"/>
      <c r="J125" s="461"/>
      <c r="K125" s="461"/>
      <c r="L125" s="461"/>
      <c r="M125" s="460"/>
      <c r="N125" s="461"/>
      <c r="O125" s="514"/>
      <c r="P125" s="515"/>
      <c r="Q125" s="424"/>
      <c r="R125" s="425"/>
      <c r="S125" s="426"/>
      <c r="T125" s="405"/>
    </row>
    <row r="126" spans="2:20" s="1" customFormat="1" ht="16.5" customHeight="1">
      <c r="B126" s="509"/>
      <c r="C126" s="82" t="str">
        <f>RAB!C470</f>
        <v>I</v>
      </c>
      <c r="D126" s="510" t="str">
        <f>RAB!D470</f>
        <v>PEKERJAAN PINTU &amp; JENDELA</v>
      </c>
      <c r="E126" s="511"/>
      <c r="F126" s="512"/>
      <c r="G126" s="513"/>
      <c r="H126" s="392"/>
      <c r="I126" s="460"/>
      <c r="J126" s="461"/>
      <c r="K126" s="461"/>
      <c r="L126" s="461"/>
      <c r="M126" s="460"/>
      <c r="N126" s="461"/>
      <c r="O126" s="514"/>
      <c r="P126" s="515"/>
      <c r="Q126" s="424"/>
      <c r="R126" s="425"/>
      <c r="S126" s="426"/>
      <c r="T126" s="405"/>
    </row>
    <row r="127" spans="2:20" s="1" customFormat="1" ht="16.5" customHeight="1">
      <c r="B127" s="509"/>
      <c r="C127" s="82"/>
      <c r="D127" s="510">
        <f>RAB!D471</f>
        <v>1</v>
      </c>
      <c r="E127" s="511" t="str">
        <f>RAB!E471</f>
        <v>Kunci Tanam Pintu Tempered</v>
      </c>
      <c r="F127" s="512"/>
      <c r="G127" s="513"/>
      <c r="H127" s="392"/>
      <c r="I127" s="460"/>
      <c r="J127" s="461"/>
      <c r="K127" s="461"/>
      <c r="L127" s="461"/>
      <c r="M127" s="460"/>
      <c r="N127" s="461"/>
      <c r="O127" s="514"/>
      <c r="P127" s="515"/>
      <c r="Q127" s="424"/>
      <c r="R127" s="425"/>
      <c r="S127" s="426"/>
      <c r="T127" s="405"/>
    </row>
    <row r="128" spans="2:20" s="1" customFormat="1" ht="16.5" customHeight="1">
      <c r="B128" s="509"/>
      <c r="C128" s="82"/>
      <c r="D128" s="510">
        <f>RAB!D472</f>
        <v>2</v>
      </c>
      <c r="E128" s="511" t="str">
        <f>RAB!E472</f>
        <v>Kunci Tanam Pintu Kayu</v>
      </c>
      <c r="F128" s="512"/>
      <c r="G128" s="513"/>
      <c r="H128" s="392"/>
      <c r="I128" s="460"/>
      <c r="J128" s="461"/>
      <c r="K128" s="461"/>
      <c r="L128" s="461"/>
      <c r="M128" s="460"/>
      <c r="N128" s="461"/>
      <c r="O128" s="514"/>
      <c r="P128" s="515"/>
      <c r="Q128" s="424"/>
      <c r="R128" s="425"/>
      <c r="S128" s="426"/>
      <c r="T128" s="405"/>
    </row>
    <row r="129" spans="2:20" s="1" customFormat="1" ht="16.5" customHeight="1">
      <c r="B129" s="509"/>
      <c r="C129" s="82"/>
      <c r="D129" s="510"/>
      <c r="E129" s="511"/>
      <c r="F129" s="512"/>
      <c r="G129" s="513"/>
      <c r="H129" s="392"/>
      <c r="I129" s="460"/>
      <c r="J129" s="461"/>
      <c r="K129" s="461"/>
      <c r="L129" s="461"/>
      <c r="M129" s="460"/>
      <c r="N129" s="461"/>
      <c r="O129" s="514"/>
      <c r="P129" s="515"/>
      <c r="Q129" s="424"/>
      <c r="R129" s="425"/>
      <c r="S129" s="426"/>
      <c r="T129" s="405"/>
    </row>
    <row r="130" spans="2:20" s="1" customFormat="1" ht="16.5" customHeight="1">
      <c r="B130" s="509"/>
      <c r="C130" s="82" t="str">
        <f>RAB!C474</f>
        <v>II</v>
      </c>
      <c r="D130" s="510" t="str">
        <f>RAB!D474</f>
        <v>PEKERJAAN ATAP &amp; PLAFOND</v>
      </c>
      <c r="E130" s="511"/>
      <c r="F130" s="512"/>
      <c r="G130" s="513"/>
      <c r="H130" s="392"/>
      <c r="I130" s="460"/>
      <c r="J130" s="461"/>
      <c r="K130" s="461"/>
      <c r="L130" s="461"/>
      <c r="M130" s="460"/>
      <c r="N130" s="461"/>
      <c r="O130" s="514"/>
      <c r="P130" s="515"/>
      <c r="Q130" s="424"/>
      <c r="R130" s="425"/>
      <c r="S130" s="426"/>
      <c r="T130" s="405"/>
    </row>
    <row r="131" spans="2:20" s="1" customFormat="1" ht="16.5" customHeight="1">
      <c r="B131" s="509"/>
      <c r="C131" s="82"/>
      <c r="D131" s="510">
        <f>RAB!D475</f>
        <v>1</v>
      </c>
      <c r="E131" s="511" t="str">
        <f>RAB!E475</f>
        <v>Listplank Motif Melayu 60cm</v>
      </c>
      <c r="F131" s="512"/>
      <c r="G131" s="513"/>
      <c r="H131" s="392"/>
      <c r="I131" s="460"/>
      <c r="J131" s="461"/>
      <c r="K131" s="461"/>
      <c r="L131" s="461"/>
      <c r="M131" s="460"/>
      <c r="N131" s="461"/>
      <c r="O131" s="514"/>
      <c r="P131" s="515"/>
      <c r="Q131" s="424"/>
      <c r="R131" s="425"/>
      <c r="S131" s="426"/>
      <c r="T131" s="405"/>
    </row>
    <row r="132" spans="2:20" s="1" customFormat="1" ht="16.5" customHeight="1">
      <c r="B132" s="509"/>
      <c r="C132" s="82"/>
      <c r="D132" s="510">
        <f>RAB!D476</f>
        <v>2</v>
      </c>
      <c r="E132" s="511" t="str">
        <f>RAB!E476</f>
        <v>Listplank Motif Melayu 30cm</v>
      </c>
      <c r="F132" s="512"/>
      <c r="G132" s="513"/>
      <c r="H132" s="392"/>
      <c r="I132" s="460"/>
      <c r="J132" s="461"/>
      <c r="K132" s="461"/>
      <c r="L132" s="461"/>
      <c r="M132" s="460"/>
      <c r="N132" s="461"/>
      <c r="O132" s="514"/>
      <c r="P132" s="515"/>
      <c r="Q132" s="424"/>
      <c r="R132" s="425"/>
      <c r="S132" s="426"/>
      <c r="T132" s="405"/>
    </row>
    <row r="133" spans="2:20" s="1" customFormat="1" ht="16.5" customHeight="1">
      <c r="B133" s="509"/>
      <c r="C133" s="82"/>
      <c r="D133" s="510">
        <f>RAB!D477</f>
        <v>3</v>
      </c>
      <c r="E133" s="511" t="str">
        <f>RAB!E477</f>
        <v>Rangka Plafond Metal Furing</v>
      </c>
      <c r="F133" s="512"/>
      <c r="G133" s="513"/>
      <c r="H133" s="392"/>
      <c r="I133" s="460"/>
      <c r="J133" s="461"/>
      <c r="K133" s="461"/>
      <c r="L133" s="461"/>
      <c r="M133" s="460"/>
      <c r="N133" s="461"/>
      <c r="O133" s="514"/>
      <c r="P133" s="515"/>
      <c r="Q133" s="424"/>
      <c r="R133" s="425"/>
      <c r="S133" s="426"/>
      <c r="T133" s="405"/>
    </row>
    <row r="134" spans="2:20" s="1" customFormat="1" ht="16.5" customHeight="1">
      <c r="B134" s="509"/>
      <c r="C134" s="82"/>
      <c r="D134" s="510">
        <f>RAB!D478</f>
        <v>4</v>
      </c>
      <c r="E134" s="511" t="str">
        <f>RAB!E478</f>
        <v>Pas. Plafond PVC</v>
      </c>
      <c r="F134" s="512"/>
      <c r="G134" s="513"/>
      <c r="H134" s="392"/>
      <c r="I134" s="460"/>
      <c r="J134" s="461"/>
      <c r="K134" s="461"/>
      <c r="L134" s="461"/>
      <c r="M134" s="460"/>
      <c r="N134" s="461"/>
      <c r="O134" s="514"/>
      <c r="P134" s="515"/>
      <c r="Q134" s="424"/>
      <c r="R134" s="425"/>
      <c r="S134" s="426"/>
      <c r="T134" s="405"/>
    </row>
    <row r="135" spans="2:20" s="1" customFormat="1" ht="16.5" customHeight="1">
      <c r="B135" s="509"/>
      <c r="C135" s="82"/>
      <c r="D135" s="510"/>
      <c r="E135" s="511"/>
      <c r="F135" s="512"/>
      <c r="G135" s="513"/>
      <c r="H135" s="392"/>
      <c r="I135" s="460"/>
      <c r="J135" s="461"/>
      <c r="K135" s="461"/>
      <c r="L135" s="461"/>
      <c r="M135" s="460"/>
      <c r="N135" s="461"/>
      <c r="O135" s="514"/>
      <c r="P135" s="515"/>
      <c r="Q135" s="424"/>
      <c r="R135" s="425"/>
      <c r="S135" s="426"/>
      <c r="T135" s="405"/>
    </row>
    <row r="136" spans="2:20" s="1" customFormat="1" ht="16.5" customHeight="1">
      <c r="B136" s="509"/>
      <c r="C136" s="82" t="str">
        <f>RAB!C480</f>
        <v>III</v>
      </c>
      <c r="D136" s="510" t="str">
        <f>RAB!D480</f>
        <v>PEKERJAAN PENGECATAN</v>
      </c>
      <c r="E136" s="511"/>
      <c r="F136" s="512"/>
      <c r="G136" s="513"/>
      <c r="H136" s="392"/>
      <c r="I136" s="460"/>
      <c r="J136" s="461"/>
      <c r="K136" s="461"/>
      <c r="L136" s="461"/>
      <c r="M136" s="460"/>
      <c r="N136" s="461"/>
      <c r="O136" s="514"/>
      <c r="P136" s="515"/>
      <c r="Q136" s="424"/>
      <c r="R136" s="425"/>
      <c r="S136" s="426"/>
      <c r="T136" s="405"/>
    </row>
    <row r="137" spans="2:20" s="1" customFormat="1" ht="16.5" customHeight="1">
      <c r="B137" s="509"/>
      <c r="C137" s="82"/>
      <c r="D137" s="510">
        <f>RAB!D481</f>
        <v>1</v>
      </c>
      <c r="E137" s="511" t="str">
        <f>RAB!E481</f>
        <v>Pengecatan Cat Tembok Dinding Interior (Dinding Partisi)</v>
      </c>
      <c r="F137" s="512"/>
      <c r="G137" s="513"/>
      <c r="H137" s="392"/>
      <c r="I137" s="460"/>
      <c r="J137" s="461"/>
      <c r="K137" s="461"/>
      <c r="L137" s="461"/>
      <c r="M137" s="460"/>
      <c r="N137" s="461"/>
      <c r="O137" s="514"/>
      <c r="P137" s="515"/>
      <c r="Q137" s="424"/>
      <c r="R137" s="425"/>
      <c r="S137" s="426"/>
      <c r="T137" s="405"/>
    </row>
    <row r="138" spans="2:20" s="1" customFormat="1" ht="16.5" customHeight="1">
      <c r="B138" s="509"/>
      <c r="C138" s="82"/>
      <c r="D138" s="510"/>
      <c r="E138" s="511"/>
      <c r="F138" s="512"/>
      <c r="G138" s="513"/>
      <c r="H138" s="392"/>
      <c r="I138" s="460"/>
      <c r="J138" s="461"/>
      <c r="K138" s="461"/>
      <c r="L138" s="461"/>
      <c r="M138" s="460"/>
      <c r="N138" s="461"/>
      <c r="O138" s="514"/>
      <c r="P138" s="515"/>
      <c r="Q138" s="424"/>
      <c r="R138" s="425"/>
      <c r="S138" s="426"/>
      <c r="T138" s="405"/>
    </row>
    <row r="139" spans="2:20" s="1" customFormat="1" ht="16.5" customHeight="1">
      <c r="B139" s="509"/>
      <c r="C139" s="82"/>
      <c r="D139" s="510"/>
      <c r="E139" s="511"/>
      <c r="F139" s="512"/>
      <c r="G139" s="513"/>
      <c r="H139" s="392"/>
      <c r="I139" s="460"/>
      <c r="J139" s="461"/>
      <c r="K139" s="461"/>
      <c r="L139" s="461"/>
      <c r="M139" s="460"/>
      <c r="N139" s="461"/>
      <c r="O139" s="514"/>
      <c r="P139" s="515"/>
      <c r="Q139" s="424"/>
      <c r="R139" s="425"/>
      <c r="S139" s="426"/>
      <c r="T139" s="405"/>
    </row>
    <row r="140" spans="2:20" s="464" customFormat="1" ht="19.350000000000001" customHeight="1">
      <c r="B140" s="468" t="str">
        <f>RAB!B527</f>
        <v>M</v>
      </c>
      <c r="C140" s="469" t="str">
        <f>RAB!C527</f>
        <v>PEKERJAAN REHAB RUANG PDBI</v>
      </c>
      <c r="D140" s="470"/>
      <c r="E140" s="471"/>
      <c r="F140" s="471"/>
      <c r="G140" s="472"/>
      <c r="H140" s="473"/>
      <c r="I140" s="474"/>
      <c r="J140" s="475"/>
      <c r="K140" s="474"/>
      <c r="L140" s="475"/>
      <c r="M140" s="474"/>
      <c r="N140" s="475"/>
      <c r="O140" s="476"/>
      <c r="P140" s="476"/>
      <c r="Q140" s="476"/>
      <c r="R140" s="477"/>
      <c r="S140" s="478"/>
    </row>
    <row r="141" spans="2:20" s="1" customFormat="1" ht="16.5" customHeight="1">
      <c r="B141" s="509"/>
      <c r="C141" s="82" t="str">
        <f>RAB!C528</f>
        <v>G.1</v>
      </c>
      <c r="D141" s="510" t="str">
        <f>RAB!D528</f>
        <v>PEMBUATAN KAMAR MANDI</v>
      </c>
      <c r="E141" s="511"/>
      <c r="F141" s="512"/>
      <c r="G141" s="513"/>
      <c r="H141" s="392"/>
      <c r="I141" s="460"/>
      <c r="J141" s="461"/>
      <c r="K141" s="461"/>
      <c r="L141" s="461"/>
      <c r="M141" s="460"/>
      <c r="N141" s="461"/>
      <c r="O141" s="514"/>
      <c r="P141" s="515"/>
      <c r="Q141" s="424"/>
      <c r="R141" s="425"/>
      <c r="S141" s="426"/>
      <c r="T141" s="405"/>
    </row>
    <row r="142" spans="2:20" s="1" customFormat="1" ht="16.5" customHeight="1">
      <c r="B142" s="509"/>
      <c r="C142" s="82"/>
      <c r="D142" s="510" t="str">
        <f>RAB!D529</f>
        <v>PEKERJAAN PONDASI &amp; BETON</v>
      </c>
      <c r="E142" s="511"/>
      <c r="F142" s="512"/>
      <c r="G142" s="513"/>
      <c r="H142" s="392"/>
      <c r="I142" s="460"/>
      <c r="J142" s="461"/>
      <c r="K142" s="461"/>
      <c r="L142" s="461"/>
      <c r="M142" s="460"/>
      <c r="N142" s="461"/>
      <c r="O142" s="514"/>
      <c r="P142" s="515"/>
      <c r="Q142" s="424"/>
      <c r="R142" s="425"/>
      <c r="S142" s="426"/>
      <c r="T142" s="405"/>
    </row>
    <row r="143" spans="2:20" s="1" customFormat="1" ht="16.5" customHeight="1">
      <c r="B143" s="509"/>
      <c r="C143" s="82"/>
      <c r="D143" s="510">
        <f>RAB!D530</f>
        <v>1</v>
      </c>
      <c r="E143" s="511" t="str">
        <f>RAB!E530</f>
        <v>Pekerjaan Bongkaran</v>
      </c>
      <c r="F143" s="512"/>
      <c r="G143" s="513"/>
      <c r="H143" s="392"/>
      <c r="I143" s="460"/>
      <c r="J143" s="461"/>
      <c r="K143" s="461"/>
      <c r="L143" s="461"/>
      <c r="M143" s="460"/>
      <c r="N143" s="461"/>
      <c r="O143" s="514"/>
      <c r="P143" s="515"/>
      <c r="Q143" s="424"/>
      <c r="R143" s="425">
        <v>1</v>
      </c>
      <c r="S143" s="426" t="s">
        <v>20</v>
      </c>
      <c r="T143" s="405"/>
    </row>
    <row r="144" spans="2:20" s="1" customFormat="1" ht="16.5" customHeight="1">
      <c r="B144" s="509"/>
      <c r="C144" s="82"/>
      <c r="D144" s="510">
        <f>RAB!D531</f>
        <v>2</v>
      </c>
      <c r="E144" s="511" t="str">
        <f>RAB!E531</f>
        <v>Balok Sloof 15/20</v>
      </c>
      <c r="F144" s="512"/>
      <c r="G144" s="513"/>
      <c r="H144" s="392"/>
      <c r="I144" s="460"/>
      <c r="J144" s="461"/>
      <c r="K144" s="461"/>
      <c r="L144" s="461"/>
      <c r="M144" s="460"/>
      <c r="N144" s="461"/>
      <c r="O144" s="514"/>
      <c r="P144" s="515"/>
      <c r="Q144" s="424"/>
      <c r="R144" s="425"/>
      <c r="S144" s="426"/>
      <c r="T144" s="405"/>
    </row>
    <row r="145" spans="2:20" s="1" customFormat="1" ht="16.5" customHeight="1">
      <c r="B145" s="509"/>
      <c r="C145" s="82"/>
      <c r="D145" s="510">
        <f>RAB!D532</f>
        <v>0</v>
      </c>
      <c r="E145" s="511" t="str">
        <f>RAB!E532</f>
        <v>Beton  Cor f’c = 14,5 Mpa (K175)</v>
      </c>
      <c r="F145" s="512"/>
      <c r="G145" s="36"/>
      <c r="H145" s="508"/>
      <c r="I145" s="460"/>
      <c r="J145" s="461"/>
      <c r="K145" s="460"/>
      <c r="L145" s="461"/>
      <c r="M145" s="78"/>
      <c r="N145" s="57"/>
      <c r="O145" s="78"/>
      <c r="P145" s="61"/>
      <c r="Q145" s="59"/>
      <c r="R145" s="41">
        <f>P149</f>
        <v>0.27</v>
      </c>
      <c r="S145" s="67" t="s">
        <v>81</v>
      </c>
      <c r="T145" s="405"/>
    </row>
    <row r="146" spans="2:20" s="1" customFormat="1" ht="16.5" customHeight="1">
      <c r="B146" s="509"/>
      <c r="C146" s="82"/>
      <c r="D146" s="510"/>
      <c r="E146" s="511"/>
      <c r="F146" s="512"/>
      <c r="G146" s="36"/>
      <c r="H146" s="392">
        <v>2</v>
      </c>
      <c r="I146" s="460" t="s">
        <v>49</v>
      </c>
      <c r="J146" s="461">
        <v>3</v>
      </c>
      <c r="K146" s="78"/>
      <c r="L146" s="57"/>
      <c r="M146" s="78"/>
      <c r="N146" s="57"/>
      <c r="O146" s="78" t="s">
        <v>50</v>
      </c>
      <c r="P146" s="58">
        <f t="shared" ref="P146:P147" si="2">H146*J146</f>
        <v>6</v>
      </c>
      <c r="Q146" s="413" t="s">
        <v>21</v>
      </c>
      <c r="R146" s="41"/>
      <c r="S146" s="67"/>
      <c r="T146" s="405"/>
    </row>
    <row r="147" spans="2:20" s="1" customFormat="1" ht="16.5" customHeight="1">
      <c r="B147" s="509"/>
      <c r="C147" s="82"/>
      <c r="D147" s="510"/>
      <c r="E147" s="511"/>
      <c r="F147" s="512"/>
      <c r="G147" s="36"/>
      <c r="H147" s="392">
        <v>3</v>
      </c>
      <c r="I147" s="460" t="s">
        <v>49</v>
      </c>
      <c r="J147" s="461">
        <v>1</v>
      </c>
      <c r="K147" s="78"/>
      <c r="L147" s="57"/>
      <c r="M147" s="78"/>
      <c r="N147" s="57"/>
      <c r="O147" s="78" t="s">
        <v>50</v>
      </c>
      <c r="P147" s="58">
        <f t="shared" si="2"/>
        <v>3</v>
      </c>
      <c r="Q147" s="413" t="s">
        <v>21</v>
      </c>
      <c r="R147" s="41"/>
      <c r="S147" s="67"/>
      <c r="T147" s="405"/>
    </row>
    <row r="148" spans="2:20" s="1" customFormat="1" ht="16.5" customHeight="1">
      <c r="B148" s="509"/>
      <c r="C148" s="82"/>
      <c r="D148" s="510"/>
      <c r="E148" s="511"/>
      <c r="F148" s="512"/>
      <c r="G148" s="36"/>
      <c r="H148" s="392"/>
      <c r="I148" s="460"/>
      <c r="J148" s="461"/>
      <c r="K148" s="78"/>
      <c r="L148" s="57"/>
      <c r="M148" s="78"/>
      <c r="N148" s="57"/>
      <c r="O148" s="78" t="s">
        <v>50</v>
      </c>
      <c r="P148" s="61">
        <f>SUM(P146:P147)</f>
        <v>9</v>
      </c>
      <c r="Q148" s="413" t="s">
        <v>21</v>
      </c>
      <c r="R148" s="41"/>
      <c r="S148" s="67"/>
      <c r="T148" s="405"/>
    </row>
    <row r="149" spans="2:20" s="1" customFormat="1" ht="16.5" customHeight="1">
      <c r="B149" s="509"/>
      <c r="C149" s="82"/>
      <c r="D149" s="510"/>
      <c r="E149" s="511"/>
      <c r="F149" s="512"/>
      <c r="G149" s="36"/>
      <c r="H149" s="392">
        <v>0.15</v>
      </c>
      <c r="I149" s="460" t="s">
        <v>49</v>
      </c>
      <c r="J149" s="461">
        <v>0.2</v>
      </c>
      <c r="K149" s="460" t="s">
        <v>49</v>
      </c>
      <c r="L149" s="461">
        <f>P148</f>
        <v>9</v>
      </c>
      <c r="M149" s="78"/>
      <c r="N149" s="57"/>
      <c r="O149" s="78" t="s">
        <v>50</v>
      </c>
      <c r="P149" s="61">
        <f>H149*J149*L149</f>
        <v>0.27</v>
      </c>
      <c r="Q149" s="413" t="s">
        <v>81</v>
      </c>
      <c r="R149" s="41"/>
      <c r="S149" s="67"/>
      <c r="T149" s="405"/>
    </row>
    <row r="150" spans="2:20" s="1" customFormat="1" ht="16.5" customHeight="1">
      <c r="B150" s="509"/>
      <c r="C150" s="82"/>
      <c r="D150" s="510"/>
      <c r="E150" s="511"/>
      <c r="F150" s="512"/>
      <c r="G150" s="36"/>
      <c r="H150" s="392"/>
      <c r="I150" s="460"/>
      <c r="J150" s="461"/>
      <c r="K150" s="460"/>
      <c r="L150" s="461"/>
      <c r="M150" s="78"/>
      <c r="N150" s="57"/>
      <c r="O150" s="78"/>
      <c r="P150" s="61"/>
      <c r="Q150" s="413"/>
      <c r="R150" s="41"/>
      <c r="S150" s="67"/>
      <c r="T150" s="405"/>
    </row>
    <row r="151" spans="2:20" s="1" customFormat="1" ht="16.5" customHeight="1">
      <c r="B151" s="509"/>
      <c r="C151" s="82"/>
      <c r="D151" s="510">
        <f>RAB!D533</f>
        <v>0</v>
      </c>
      <c r="E151" s="511" t="str">
        <f>RAB!E533</f>
        <v>Pembesian 4 Ø12</v>
      </c>
      <c r="F151" s="512"/>
      <c r="G151" s="36"/>
      <c r="H151" s="508"/>
      <c r="I151" s="460"/>
      <c r="J151" s="461"/>
      <c r="K151" s="460"/>
      <c r="L151" s="461"/>
      <c r="M151" s="78"/>
      <c r="N151" s="57"/>
      <c r="O151" s="78"/>
      <c r="P151" s="61"/>
      <c r="Q151" s="59"/>
      <c r="R151" s="41">
        <f>P156</f>
        <v>31.945104000000001</v>
      </c>
      <c r="S151" s="67" t="s">
        <v>69</v>
      </c>
      <c r="T151" s="405"/>
    </row>
    <row r="152" spans="2:20" s="1" customFormat="1" ht="16.5" customHeight="1">
      <c r="B152" s="509"/>
      <c r="C152" s="82"/>
      <c r="D152" s="510">
        <f>RAB!D534</f>
        <v>0</v>
      </c>
      <c r="E152" s="511" t="str">
        <f>RAB!E534</f>
        <v>Pembesian Ø8 - 150</v>
      </c>
      <c r="F152" s="512"/>
      <c r="G152" s="36"/>
      <c r="H152" s="508"/>
      <c r="I152" s="460"/>
      <c r="J152" s="461"/>
      <c r="K152" s="460"/>
      <c r="L152" s="461"/>
      <c r="M152" s="78"/>
      <c r="N152" s="57"/>
      <c r="O152" s="78"/>
      <c r="P152" s="61"/>
      <c r="Q152" s="59"/>
      <c r="R152" s="41">
        <f>P163</f>
        <v>16.327497600000001</v>
      </c>
      <c r="S152" s="67" t="s">
        <v>69</v>
      </c>
      <c r="T152" s="405"/>
    </row>
    <row r="153" spans="2:20" s="1" customFormat="1" ht="16.5" customHeight="1">
      <c r="B153" s="509"/>
      <c r="C153" s="82"/>
      <c r="D153" s="510"/>
      <c r="E153" s="511"/>
      <c r="F153" s="512"/>
      <c r="G153" s="699" t="s">
        <v>721</v>
      </c>
      <c r="H153" s="451"/>
      <c r="I153" s="57"/>
      <c r="J153" s="78"/>
      <c r="K153" s="57"/>
      <c r="L153" s="78"/>
      <c r="M153" s="57"/>
      <c r="N153" s="57"/>
      <c r="O153" s="78"/>
      <c r="P153" s="61"/>
      <c r="Q153" s="59"/>
      <c r="R153" s="41"/>
      <c r="S153" s="67"/>
      <c r="T153" s="405"/>
    </row>
    <row r="154" spans="2:20" s="1" customFormat="1" ht="16.5" customHeight="1">
      <c r="B154" s="509"/>
      <c r="C154" s="82"/>
      <c r="D154" s="510"/>
      <c r="E154" s="511"/>
      <c r="F154" s="512"/>
      <c r="G154" s="700" t="s">
        <v>245</v>
      </c>
      <c r="H154" s="454">
        <v>12</v>
      </c>
      <c r="I154" s="455" t="s">
        <v>50</v>
      </c>
      <c r="J154" s="454">
        <f>0.25*((H154/1000)^2)*3.14*7850</f>
        <v>0.88736400000000004</v>
      </c>
      <c r="K154" s="456"/>
      <c r="L154" s="701" t="s">
        <v>63</v>
      </c>
      <c r="M154" s="701"/>
      <c r="N154" s="57"/>
      <c r="O154" s="78"/>
      <c r="P154" s="61"/>
      <c r="Q154" s="59"/>
      <c r="R154" s="41"/>
      <c r="S154" s="67"/>
      <c r="T154" s="405"/>
    </row>
    <row r="155" spans="2:20" s="1" customFormat="1" ht="16.5" customHeight="1">
      <c r="B155" s="509"/>
      <c r="C155" s="82"/>
      <c r="D155" s="510"/>
      <c r="E155" s="511"/>
      <c r="F155" s="512"/>
      <c r="G155" s="706" t="s">
        <v>722</v>
      </c>
      <c r="H155" s="702">
        <v>4</v>
      </c>
      <c r="I155" s="703" t="s">
        <v>49</v>
      </c>
      <c r="J155" s="703">
        <f>P148</f>
        <v>9</v>
      </c>
      <c r="K155" s="703"/>
      <c r="L155" s="703"/>
      <c r="M155" s="703"/>
      <c r="N155" s="57"/>
      <c r="O155" s="704" t="s">
        <v>50</v>
      </c>
      <c r="P155" s="419">
        <f>H155*J155</f>
        <v>36</v>
      </c>
      <c r="Q155" s="705" t="s">
        <v>3</v>
      </c>
      <c r="R155" s="41"/>
      <c r="S155" s="67"/>
      <c r="T155" s="405"/>
    </row>
    <row r="156" spans="2:20" s="1" customFormat="1" ht="16.5" customHeight="1">
      <c r="B156" s="509"/>
      <c r="C156" s="82"/>
      <c r="D156" s="510"/>
      <c r="E156" s="511"/>
      <c r="F156" s="512"/>
      <c r="G156" s="706" t="s">
        <v>723</v>
      </c>
      <c r="H156" s="702">
        <f>P155</f>
        <v>36</v>
      </c>
      <c r="I156" s="703" t="s">
        <v>49</v>
      </c>
      <c r="J156" s="703">
        <f>J154</f>
        <v>0.88736400000000004</v>
      </c>
      <c r="K156" s="702"/>
      <c r="L156" s="707"/>
      <c r="M156" s="707"/>
      <c r="N156" s="57"/>
      <c r="O156" s="704" t="s">
        <v>50</v>
      </c>
      <c r="P156" s="422">
        <f>H156*J156</f>
        <v>31.945104000000001</v>
      </c>
      <c r="Q156" s="705" t="s">
        <v>69</v>
      </c>
      <c r="R156" s="41"/>
      <c r="S156" s="67"/>
      <c r="T156" s="405"/>
    </row>
    <row r="157" spans="2:20" s="1" customFormat="1" ht="16.5" customHeight="1">
      <c r="B157" s="509"/>
      <c r="C157" s="82"/>
      <c r="D157" s="510"/>
      <c r="E157" s="511"/>
      <c r="F157" s="512"/>
      <c r="G157" s="706"/>
      <c r="H157" s="702"/>
      <c r="I157" s="703"/>
      <c r="J157" s="703"/>
      <c r="K157" s="702"/>
      <c r="L157" s="707"/>
      <c r="M157" s="707"/>
      <c r="N157" s="57"/>
      <c r="O157" s="704"/>
      <c r="P157" s="419"/>
      <c r="Q157" s="705"/>
      <c r="R157" s="41"/>
      <c r="S157" s="67"/>
      <c r="T157" s="405"/>
    </row>
    <row r="158" spans="2:20" s="1" customFormat="1" ht="16.5" customHeight="1">
      <c r="B158" s="509"/>
      <c r="C158" s="82"/>
      <c r="D158" s="510"/>
      <c r="E158" s="511"/>
      <c r="F158" s="512"/>
      <c r="G158" s="706" t="s">
        <v>724</v>
      </c>
      <c r="H158" s="702"/>
      <c r="I158" s="703"/>
      <c r="J158" s="703"/>
      <c r="K158" s="702"/>
      <c r="L158" s="707"/>
      <c r="M158" s="707"/>
      <c r="N158" s="57"/>
      <c r="O158" s="704"/>
      <c r="P158" s="419"/>
      <c r="Q158" s="705"/>
      <c r="R158" s="41"/>
      <c r="S158" s="67"/>
      <c r="T158" s="405"/>
    </row>
    <row r="159" spans="2:20" s="1" customFormat="1" ht="16.5" customHeight="1">
      <c r="B159" s="509"/>
      <c r="C159" s="82"/>
      <c r="D159" s="510"/>
      <c r="E159" s="511"/>
      <c r="F159" s="512"/>
      <c r="G159" s="700" t="s">
        <v>245</v>
      </c>
      <c r="H159" s="454">
        <v>8</v>
      </c>
      <c r="I159" s="455" t="s">
        <v>50</v>
      </c>
      <c r="J159" s="454">
        <f>0.25*((H159/1000)^2)*3.14*7850</f>
        <v>0.39438400000000001</v>
      </c>
      <c r="K159" s="456"/>
      <c r="L159" s="701" t="s">
        <v>63</v>
      </c>
      <c r="M159" s="701"/>
      <c r="N159" s="57"/>
      <c r="O159" s="704"/>
      <c r="P159" s="419"/>
      <c r="Q159" s="705"/>
      <c r="R159" s="41"/>
      <c r="S159" s="67"/>
      <c r="T159" s="405"/>
    </row>
    <row r="160" spans="2:20" s="1" customFormat="1" ht="16.5" customHeight="1">
      <c r="B160" s="509"/>
      <c r="C160" s="82"/>
      <c r="D160" s="510"/>
      <c r="E160" s="511"/>
      <c r="F160" s="512"/>
      <c r="G160" s="706" t="s">
        <v>725</v>
      </c>
      <c r="H160" s="702"/>
      <c r="I160" s="703"/>
      <c r="J160" s="703"/>
      <c r="K160" s="702"/>
      <c r="L160" s="703"/>
      <c r="M160" s="703"/>
      <c r="N160" s="57"/>
      <c r="O160" s="702" t="s">
        <v>50</v>
      </c>
      <c r="P160" s="419">
        <f>0.09*2+0.13*2+0.05*5</f>
        <v>0.69</v>
      </c>
      <c r="Q160" s="705" t="s">
        <v>3</v>
      </c>
      <c r="R160" s="41"/>
      <c r="S160" s="67"/>
      <c r="T160" s="405"/>
    </row>
    <row r="161" spans="2:20" s="1" customFormat="1" ht="16.5" customHeight="1">
      <c r="B161" s="509"/>
      <c r="C161" s="82"/>
      <c r="D161" s="510"/>
      <c r="E161" s="511"/>
      <c r="F161" s="512"/>
      <c r="G161" s="706" t="s">
        <v>52</v>
      </c>
      <c r="H161" s="702">
        <f>J155</f>
        <v>9</v>
      </c>
      <c r="I161" s="703" t="s">
        <v>53</v>
      </c>
      <c r="J161" s="703">
        <v>0.15</v>
      </c>
      <c r="K161" s="702"/>
      <c r="L161" s="703"/>
      <c r="M161" s="703"/>
      <c r="N161" s="57"/>
      <c r="O161" s="704" t="s">
        <v>50</v>
      </c>
      <c r="P161" s="419">
        <f>H161/J161</f>
        <v>60</v>
      </c>
      <c r="Q161" s="705" t="s">
        <v>23</v>
      </c>
      <c r="R161" s="41"/>
      <c r="S161" s="67"/>
      <c r="T161" s="405"/>
    </row>
    <row r="162" spans="2:20" s="1" customFormat="1" ht="16.5" customHeight="1">
      <c r="B162" s="509"/>
      <c r="C162" s="82"/>
      <c r="D162" s="510"/>
      <c r="E162" s="511"/>
      <c r="F162" s="512"/>
      <c r="G162" s="706" t="s">
        <v>51</v>
      </c>
      <c r="H162" s="702">
        <f>P161</f>
        <v>60</v>
      </c>
      <c r="I162" s="703" t="s">
        <v>49</v>
      </c>
      <c r="J162" s="703">
        <f>P160</f>
        <v>0.69</v>
      </c>
      <c r="K162" s="702"/>
      <c r="L162" s="703"/>
      <c r="M162" s="703"/>
      <c r="N162" s="57"/>
      <c r="O162" s="704" t="s">
        <v>50</v>
      </c>
      <c r="P162" s="419">
        <f>H162*J162</f>
        <v>41.4</v>
      </c>
      <c r="Q162" s="705" t="s">
        <v>3</v>
      </c>
      <c r="R162" s="41"/>
      <c r="S162" s="67"/>
      <c r="T162" s="405"/>
    </row>
    <row r="163" spans="2:20" s="1" customFormat="1" ht="16.5" customHeight="1">
      <c r="B163" s="509"/>
      <c r="C163" s="82"/>
      <c r="D163" s="510"/>
      <c r="E163" s="511"/>
      <c r="F163" s="512"/>
      <c r="G163" s="706" t="s">
        <v>723</v>
      </c>
      <c r="H163" s="702">
        <f>P162</f>
        <v>41.4</v>
      </c>
      <c r="I163" s="703" t="s">
        <v>49</v>
      </c>
      <c r="J163" s="703">
        <f>J159</f>
        <v>0.39438400000000001</v>
      </c>
      <c r="K163" s="702"/>
      <c r="L163" s="703"/>
      <c r="M163" s="703"/>
      <c r="N163" s="57"/>
      <c r="O163" s="704" t="s">
        <v>50</v>
      </c>
      <c r="P163" s="422">
        <f>H163*J163</f>
        <v>16.327497600000001</v>
      </c>
      <c r="Q163" s="705" t="s">
        <v>69</v>
      </c>
      <c r="R163" s="41"/>
      <c r="S163" s="67"/>
      <c r="T163" s="405"/>
    </row>
    <row r="164" spans="2:20" s="1" customFormat="1" ht="16.5" customHeight="1">
      <c r="B164" s="509"/>
      <c r="C164" s="82"/>
      <c r="D164" s="510"/>
      <c r="E164" s="511"/>
      <c r="F164" s="512"/>
      <c r="G164" s="36"/>
      <c r="H164" s="508"/>
      <c r="I164" s="460"/>
      <c r="J164" s="461"/>
      <c r="K164" s="460"/>
      <c r="L164" s="461"/>
      <c r="M164" s="78"/>
      <c r="N164" s="57"/>
      <c r="O164" s="78"/>
      <c r="P164" s="61"/>
      <c r="Q164" s="59"/>
      <c r="R164" s="41"/>
      <c r="S164" s="67"/>
      <c r="T164" s="405"/>
    </row>
    <row r="165" spans="2:20" s="1" customFormat="1" ht="16.5" customHeight="1">
      <c r="B165" s="509"/>
      <c r="C165" s="82"/>
      <c r="D165" s="510">
        <f>RAB!D535</f>
        <v>0</v>
      </c>
      <c r="E165" s="511" t="str">
        <f>RAB!E535</f>
        <v>Bekisting</v>
      </c>
      <c r="F165" s="512"/>
      <c r="G165" s="36"/>
      <c r="H165" s="508"/>
      <c r="I165" s="460"/>
      <c r="J165" s="461"/>
      <c r="K165" s="460"/>
      <c r="L165" s="461"/>
      <c r="M165" s="78"/>
      <c r="N165" s="57"/>
      <c r="O165" s="78"/>
      <c r="P165" s="61"/>
      <c r="Q165" s="59"/>
      <c r="R165" s="41">
        <f>P168</f>
        <v>4.95</v>
      </c>
      <c r="S165" s="67" t="s">
        <v>133</v>
      </c>
      <c r="T165" s="405"/>
    </row>
    <row r="166" spans="2:20" s="1" customFormat="1" ht="16.5" customHeight="1">
      <c r="B166" s="509"/>
      <c r="C166" s="82"/>
      <c r="D166" s="510"/>
      <c r="E166" s="511"/>
      <c r="F166" s="512"/>
      <c r="G166" s="36"/>
      <c r="H166" s="698">
        <f>H149</f>
        <v>0.15</v>
      </c>
      <c r="I166" s="57" t="s">
        <v>49</v>
      </c>
      <c r="J166" s="57">
        <v>1</v>
      </c>
      <c r="K166" s="460" t="s">
        <v>49</v>
      </c>
      <c r="L166" s="461">
        <f>P148</f>
        <v>9</v>
      </c>
      <c r="M166" s="78"/>
      <c r="N166" s="57"/>
      <c r="O166" s="78" t="s">
        <v>50</v>
      </c>
      <c r="P166" s="58">
        <f t="shared" ref="P166:P167" si="3">H166*J166*L166</f>
        <v>1.3499999999999999</v>
      </c>
      <c r="Q166" s="59" t="s">
        <v>133</v>
      </c>
      <c r="R166" s="41"/>
      <c r="S166" s="67"/>
      <c r="T166" s="405"/>
    </row>
    <row r="167" spans="2:20" s="1" customFormat="1" ht="16.5" customHeight="1">
      <c r="B167" s="509"/>
      <c r="C167" s="82"/>
      <c r="D167" s="510"/>
      <c r="E167" s="511"/>
      <c r="F167" s="512"/>
      <c r="G167" s="36"/>
      <c r="H167" s="698">
        <f>J149</f>
        <v>0.2</v>
      </c>
      <c r="I167" s="57" t="s">
        <v>49</v>
      </c>
      <c r="J167" s="57">
        <v>2</v>
      </c>
      <c r="K167" s="460" t="s">
        <v>49</v>
      </c>
      <c r="L167" s="461">
        <f>P148</f>
        <v>9</v>
      </c>
      <c r="M167" s="78"/>
      <c r="N167" s="57"/>
      <c r="O167" s="78" t="s">
        <v>50</v>
      </c>
      <c r="P167" s="58">
        <f t="shared" si="3"/>
        <v>3.6</v>
      </c>
      <c r="Q167" s="59" t="s">
        <v>133</v>
      </c>
      <c r="R167" s="41"/>
      <c r="S167" s="67"/>
      <c r="T167" s="405"/>
    </row>
    <row r="168" spans="2:20" s="1" customFormat="1" ht="16.5" customHeight="1">
      <c r="B168" s="509"/>
      <c r="C168" s="82"/>
      <c r="D168" s="510"/>
      <c r="E168" s="511"/>
      <c r="F168" s="512"/>
      <c r="G168" s="36"/>
      <c r="H168" s="508"/>
      <c r="I168" s="460"/>
      <c r="J168" s="461"/>
      <c r="K168" s="460"/>
      <c r="L168" s="461"/>
      <c r="M168" s="78"/>
      <c r="N168" s="57"/>
      <c r="O168" s="704" t="s">
        <v>50</v>
      </c>
      <c r="P168" s="422">
        <f>SUM(P166:P167)</f>
        <v>4.95</v>
      </c>
      <c r="Q168" s="413" t="s">
        <v>133</v>
      </c>
      <c r="R168" s="41"/>
      <c r="S168" s="67"/>
      <c r="T168" s="405"/>
    </row>
    <row r="169" spans="2:20" s="1" customFormat="1" ht="16.5" customHeight="1">
      <c r="B169" s="509"/>
      <c r="C169" s="82"/>
      <c r="D169" s="510">
        <f>RAB!D536</f>
        <v>3</v>
      </c>
      <c r="E169" s="511" t="str">
        <f>RAB!E536</f>
        <v>Kolom Praktis</v>
      </c>
      <c r="F169" s="512"/>
      <c r="G169" s="36"/>
      <c r="H169" s="698">
        <v>3</v>
      </c>
      <c r="I169" s="703" t="s">
        <v>49</v>
      </c>
      <c r="J169" s="703">
        <v>4</v>
      </c>
      <c r="K169" s="702"/>
      <c r="L169" s="703"/>
      <c r="M169" s="703"/>
      <c r="N169" s="57"/>
      <c r="O169" s="704" t="s">
        <v>50</v>
      </c>
      <c r="P169" s="419">
        <f>H169*J169</f>
        <v>12</v>
      </c>
      <c r="Q169" s="705" t="s">
        <v>3</v>
      </c>
      <c r="R169" s="41">
        <f>P169</f>
        <v>12</v>
      </c>
      <c r="S169" s="67" t="s">
        <v>21</v>
      </c>
      <c r="T169" s="405"/>
    </row>
    <row r="170" spans="2:20" s="1" customFormat="1" ht="16.5" customHeight="1">
      <c r="B170" s="509"/>
      <c r="C170" s="82"/>
      <c r="D170" s="510"/>
      <c r="E170" s="511"/>
      <c r="F170" s="512"/>
      <c r="G170" s="513"/>
      <c r="H170" s="392"/>
      <c r="I170" s="460"/>
      <c r="J170" s="461"/>
      <c r="K170" s="461"/>
      <c r="L170" s="461"/>
      <c r="M170" s="460"/>
      <c r="N170" s="461"/>
      <c r="O170" s="514"/>
      <c r="P170" s="515"/>
      <c r="Q170" s="424"/>
      <c r="R170" s="425"/>
      <c r="S170" s="426"/>
      <c r="T170" s="405"/>
    </row>
    <row r="171" spans="2:20" s="1" customFormat="1" ht="16.5" customHeight="1">
      <c r="B171" s="509"/>
      <c r="C171" s="82"/>
      <c r="D171" s="510"/>
      <c r="E171" s="511"/>
      <c r="F171" s="512"/>
      <c r="G171" s="513"/>
      <c r="H171" s="392"/>
      <c r="I171" s="460"/>
      <c r="J171" s="461"/>
      <c r="K171" s="461"/>
      <c r="L171" s="461"/>
      <c r="M171" s="460"/>
      <c r="N171" s="461"/>
      <c r="O171" s="514"/>
      <c r="P171" s="515"/>
      <c r="Q171" s="424"/>
      <c r="R171" s="425"/>
      <c r="S171" s="426"/>
      <c r="T171" s="405"/>
    </row>
    <row r="172" spans="2:20" s="1" customFormat="1" ht="16.5" customHeight="1">
      <c r="B172" s="509"/>
      <c r="C172" s="82"/>
      <c r="D172" s="510"/>
      <c r="E172" s="511"/>
      <c r="F172" s="512"/>
      <c r="G172" s="513"/>
      <c r="H172" s="392"/>
      <c r="I172" s="460"/>
      <c r="J172" s="461"/>
      <c r="K172" s="461"/>
      <c r="L172" s="461"/>
      <c r="M172" s="460"/>
      <c r="N172" s="461"/>
      <c r="O172" s="514"/>
      <c r="P172" s="515"/>
      <c r="Q172" s="424"/>
      <c r="R172" s="425"/>
      <c r="S172" s="426"/>
      <c r="T172" s="405"/>
    </row>
    <row r="173" spans="2:20" s="1" customFormat="1" ht="16.5" customHeight="1">
      <c r="B173" s="509"/>
      <c r="C173" s="82"/>
      <c r="D173" s="510"/>
      <c r="E173" s="511"/>
      <c r="F173" s="512"/>
      <c r="G173" s="513"/>
      <c r="H173" s="392"/>
      <c r="I173" s="460"/>
      <c r="J173" s="461"/>
      <c r="K173" s="461"/>
      <c r="L173" s="461"/>
      <c r="M173" s="460"/>
      <c r="N173" s="461"/>
      <c r="O173" s="514"/>
      <c r="P173" s="515"/>
      <c r="Q173" s="424"/>
      <c r="R173" s="425"/>
      <c r="S173" s="426"/>
      <c r="T173" s="405"/>
    </row>
    <row r="174" spans="2:20" s="1" customFormat="1" ht="16.5" customHeight="1">
      <c r="B174" s="509"/>
      <c r="C174" s="82"/>
      <c r="D174" s="510"/>
      <c r="E174" s="511"/>
      <c r="F174" s="512"/>
      <c r="G174" s="513"/>
      <c r="H174" s="392"/>
      <c r="I174" s="460"/>
      <c r="J174" s="461"/>
      <c r="K174" s="461"/>
      <c r="L174" s="461"/>
      <c r="M174" s="460"/>
      <c r="N174" s="461"/>
      <c r="O174" s="514"/>
      <c r="P174" s="515"/>
      <c r="Q174" s="424"/>
      <c r="R174" s="425"/>
      <c r="S174" s="426"/>
      <c r="T174" s="405"/>
    </row>
    <row r="175" spans="2:20" s="1" customFormat="1" ht="16.5" customHeight="1">
      <c r="B175" s="509"/>
      <c r="C175" s="82"/>
      <c r="D175" s="510"/>
      <c r="E175" s="511"/>
      <c r="F175" s="512"/>
      <c r="G175" s="513"/>
      <c r="H175" s="392"/>
      <c r="I175" s="460"/>
      <c r="J175" s="461"/>
      <c r="K175" s="461"/>
      <c r="L175" s="461"/>
      <c r="M175" s="460"/>
      <c r="N175" s="461"/>
      <c r="O175" s="514"/>
      <c r="P175" s="515"/>
      <c r="Q175" s="424"/>
      <c r="R175" s="425"/>
      <c r="S175" s="426"/>
      <c r="T175" s="405"/>
    </row>
    <row r="176" spans="2:20" s="1" customFormat="1" ht="16.5" customHeight="1">
      <c r="B176" s="509"/>
      <c r="C176" s="82"/>
      <c r="D176" s="510"/>
      <c r="E176" s="511"/>
      <c r="F176" s="512"/>
      <c r="G176" s="513"/>
      <c r="H176" s="392"/>
      <c r="I176" s="460"/>
      <c r="J176" s="461"/>
      <c r="K176" s="461"/>
      <c r="L176" s="461"/>
      <c r="M176" s="460"/>
      <c r="N176" s="461"/>
      <c r="O176" s="514"/>
      <c r="P176" s="515"/>
      <c r="Q176" s="424"/>
      <c r="R176" s="425"/>
      <c r="S176" s="426"/>
      <c r="T176" s="405"/>
    </row>
    <row r="177" spans="2:20" s="1" customFormat="1" ht="16.5" customHeight="1">
      <c r="B177" s="509"/>
      <c r="C177" s="82"/>
      <c r="D177" s="510"/>
      <c r="E177" s="511"/>
      <c r="F177" s="512"/>
      <c r="G177" s="513"/>
      <c r="H177" s="392"/>
      <c r="I177" s="460"/>
      <c r="J177" s="461"/>
      <c r="K177" s="461"/>
      <c r="L177" s="461"/>
      <c r="M177" s="460"/>
      <c r="N177" s="461"/>
      <c r="O177" s="514"/>
      <c r="P177" s="515"/>
      <c r="Q177" s="424"/>
      <c r="R177" s="425"/>
      <c r="S177" s="426"/>
      <c r="T177" s="405"/>
    </row>
    <row r="178" spans="2:20" s="1" customFormat="1" ht="16.5" customHeight="1">
      <c r="B178" s="509"/>
      <c r="C178" s="82"/>
      <c r="D178" s="510"/>
      <c r="E178" s="511"/>
      <c r="F178" s="512"/>
      <c r="G178" s="513"/>
      <c r="H178" s="392"/>
      <c r="I178" s="460"/>
      <c r="J178" s="461"/>
      <c r="K178" s="461"/>
      <c r="L178" s="461"/>
      <c r="M178" s="460"/>
      <c r="N178" s="461"/>
      <c r="O178" s="514"/>
      <c r="P178" s="515"/>
      <c r="Q178" s="424"/>
      <c r="R178" s="425"/>
      <c r="S178" s="426"/>
      <c r="T178" s="405"/>
    </row>
    <row r="179" spans="2:20" s="1" customFormat="1" ht="16.5" customHeight="1">
      <c r="B179" s="509"/>
      <c r="C179" s="82"/>
      <c r="D179" s="510"/>
      <c r="E179" s="511"/>
      <c r="F179" s="512"/>
      <c r="G179" s="513"/>
      <c r="H179" s="392"/>
      <c r="I179" s="460"/>
      <c r="J179" s="461"/>
      <c r="K179" s="461"/>
      <c r="L179" s="461"/>
      <c r="M179" s="460"/>
      <c r="N179" s="461"/>
      <c r="O179" s="514"/>
      <c r="P179" s="515"/>
      <c r="Q179" s="424"/>
      <c r="R179" s="425"/>
      <c r="S179" s="426"/>
      <c r="T179" s="405"/>
    </row>
    <row r="180" spans="2:20" s="1" customFormat="1" ht="16.5" customHeight="1">
      <c r="B180" s="509"/>
      <c r="C180" s="82"/>
      <c r="D180" s="510"/>
      <c r="E180" s="511"/>
      <c r="F180" s="512"/>
      <c r="G180" s="513"/>
      <c r="H180" s="392"/>
      <c r="I180" s="460"/>
      <c r="J180" s="461"/>
      <c r="K180" s="461"/>
      <c r="L180" s="461"/>
      <c r="M180" s="460"/>
      <c r="N180" s="461"/>
      <c r="O180" s="514"/>
      <c r="P180" s="515"/>
      <c r="Q180" s="424"/>
      <c r="R180" s="425"/>
      <c r="S180" s="426"/>
      <c r="T180" s="405"/>
    </row>
    <row r="181" spans="2:20" s="1" customFormat="1" ht="16.5" customHeight="1">
      <c r="B181" s="509"/>
      <c r="C181" s="82"/>
      <c r="D181" s="510"/>
      <c r="E181" s="511"/>
      <c r="F181" s="512"/>
      <c r="G181" s="513"/>
      <c r="H181" s="392"/>
      <c r="I181" s="460"/>
      <c r="J181" s="461"/>
      <c r="K181" s="461"/>
      <c r="L181" s="461"/>
      <c r="M181" s="460"/>
      <c r="N181" s="461"/>
      <c r="O181" s="514"/>
      <c r="P181" s="515"/>
      <c r="Q181" s="424"/>
      <c r="R181" s="425"/>
      <c r="S181" s="426"/>
      <c r="T181" s="405"/>
    </row>
    <row r="182" spans="2:20" s="1" customFormat="1" ht="16.5" customHeight="1">
      <c r="B182" s="509"/>
      <c r="C182" s="82"/>
      <c r="D182" s="510"/>
      <c r="E182" s="511"/>
      <c r="F182" s="512"/>
      <c r="G182" s="513"/>
      <c r="H182" s="392"/>
      <c r="I182" s="460"/>
      <c r="J182" s="461"/>
      <c r="K182" s="461"/>
      <c r="L182" s="461"/>
      <c r="M182" s="460"/>
      <c r="N182" s="461"/>
      <c r="O182" s="514"/>
      <c r="P182" s="515"/>
      <c r="Q182" s="424"/>
      <c r="R182" s="425"/>
      <c r="S182" s="426"/>
      <c r="T182" s="405"/>
    </row>
    <row r="183" spans="2:20" s="1" customFormat="1" ht="16.5" customHeight="1">
      <c r="B183" s="509"/>
      <c r="C183" s="82"/>
      <c r="D183" s="510"/>
      <c r="E183" s="511"/>
      <c r="F183" s="512"/>
      <c r="G183" s="513"/>
      <c r="H183" s="392"/>
      <c r="I183" s="460"/>
      <c r="J183" s="461"/>
      <c r="K183" s="461"/>
      <c r="L183" s="461"/>
      <c r="M183" s="460"/>
      <c r="N183" s="461"/>
      <c r="O183" s="514"/>
      <c r="P183" s="515"/>
      <c r="Q183" s="424"/>
      <c r="R183" s="425"/>
      <c r="S183" s="426"/>
      <c r="T183" s="405"/>
    </row>
    <row r="184" spans="2:20" s="1" customFormat="1" ht="16.5" customHeight="1">
      <c r="B184" s="509"/>
      <c r="C184" s="82"/>
      <c r="D184" s="510"/>
      <c r="E184" s="511"/>
      <c r="F184" s="512"/>
      <c r="G184" s="513"/>
      <c r="H184" s="392"/>
      <c r="I184" s="460"/>
      <c r="J184" s="461"/>
      <c r="K184" s="461"/>
      <c r="L184" s="461"/>
      <c r="M184" s="460"/>
      <c r="N184" s="461"/>
      <c r="O184" s="514"/>
      <c r="P184" s="515"/>
      <c r="Q184" s="424"/>
      <c r="R184" s="425"/>
      <c r="S184" s="426"/>
      <c r="T184" s="405"/>
    </row>
    <row r="185" spans="2:20" s="1" customFormat="1" ht="16.5" customHeight="1">
      <c r="B185" s="509"/>
      <c r="C185" s="82"/>
      <c r="D185" s="510"/>
      <c r="E185" s="511"/>
      <c r="F185" s="512"/>
      <c r="G185" s="513"/>
      <c r="H185" s="392"/>
      <c r="I185" s="460"/>
      <c r="J185" s="461"/>
      <c r="K185" s="461"/>
      <c r="L185" s="461"/>
      <c r="M185" s="460"/>
      <c r="N185" s="461"/>
      <c r="O185" s="514"/>
      <c r="P185" s="515"/>
      <c r="Q185" s="424"/>
      <c r="R185" s="425"/>
      <c r="S185" s="426"/>
      <c r="T185" s="405"/>
    </row>
    <row r="186" spans="2:20" s="1" customFormat="1" ht="16.5" customHeight="1">
      <c r="B186" s="509"/>
      <c r="C186" s="82"/>
      <c r="D186" s="510"/>
      <c r="E186" s="511"/>
      <c r="F186" s="512"/>
      <c r="G186" s="513"/>
      <c r="H186" s="392"/>
      <c r="I186" s="460"/>
      <c r="J186" s="461"/>
      <c r="K186" s="461"/>
      <c r="L186" s="461"/>
      <c r="M186" s="460"/>
      <c r="N186" s="461"/>
      <c r="O186" s="514"/>
      <c r="P186" s="515"/>
      <c r="Q186" s="424"/>
      <c r="R186" s="425"/>
      <c r="S186" s="426"/>
      <c r="T186" s="405"/>
    </row>
    <row r="187" spans="2:20" s="1" customFormat="1" ht="16.5" customHeight="1">
      <c r="B187" s="509"/>
      <c r="C187" s="82"/>
      <c r="D187" s="510"/>
      <c r="E187" s="511"/>
      <c r="F187" s="512"/>
      <c r="G187" s="513"/>
      <c r="H187" s="392"/>
      <c r="I187" s="460"/>
      <c r="J187" s="461"/>
      <c r="K187" s="461"/>
      <c r="L187" s="461"/>
      <c r="M187" s="460"/>
      <c r="N187" s="461"/>
      <c r="O187" s="514"/>
      <c r="P187" s="515"/>
      <c r="Q187" s="424"/>
      <c r="R187" s="425"/>
      <c r="S187" s="426"/>
      <c r="T187" s="405"/>
    </row>
    <row r="188" spans="2:20" s="1" customFormat="1" ht="16.5" customHeight="1">
      <c r="B188" s="509"/>
      <c r="C188" s="82"/>
      <c r="D188" s="510"/>
      <c r="E188" s="511"/>
      <c r="F188" s="512"/>
      <c r="G188" s="513"/>
      <c r="H188" s="392"/>
      <c r="I188" s="460"/>
      <c r="J188" s="461"/>
      <c r="K188" s="461"/>
      <c r="L188" s="461"/>
      <c r="M188" s="460"/>
      <c r="N188" s="461"/>
      <c r="O188" s="514"/>
      <c r="P188" s="515"/>
      <c r="Q188" s="424"/>
      <c r="R188" s="425"/>
      <c r="S188" s="426"/>
      <c r="T188" s="405"/>
    </row>
    <row r="189" spans="2:20" s="1" customFormat="1" ht="16.5" customHeight="1">
      <c r="B189" s="509"/>
      <c r="C189" s="82"/>
      <c r="D189" s="510"/>
      <c r="E189" s="511"/>
      <c r="F189" s="512"/>
      <c r="G189" s="513"/>
      <c r="H189" s="392"/>
      <c r="I189" s="460"/>
      <c r="J189" s="461"/>
      <c r="K189" s="461"/>
      <c r="L189" s="461"/>
      <c r="M189" s="460"/>
      <c r="N189" s="461"/>
      <c r="O189" s="514"/>
      <c r="P189" s="515"/>
      <c r="Q189" s="424"/>
      <c r="R189" s="425"/>
      <c r="S189" s="426"/>
      <c r="T189" s="405"/>
    </row>
    <row r="190" spans="2:20" s="1" customFormat="1" ht="16.5" customHeight="1">
      <c r="B190" s="509"/>
      <c r="C190" s="82"/>
      <c r="D190" s="510"/>
      <c r="E190" s="511"/>
      <c r="F190" s="512"/>
      <c r="G190" s="513"/>
      <c r="H190" s="392"/>
      <c r="I190" s="460"/>
      <c r="J190" s="461"/>
      <c r="K190" s="461"/>
      <c r="L190" s="461"/>
      <c r="M190" s="460"/>
      <c r="N190" s="461"/>
      <c r="O190" s="514"/>
      <c r="P190" s="515"/>
      <c r="Q190" s="424"/>
      <c r="R190" s="425"/>
      <c r="S190" s="426"/>
      <c r="T190" s="405"/>
    </row>
    <row r="191" spans="2:20" s="1" customFormat="1" ht="16.5" customHeight="1">
      <c r="B191" s="509"/>
      <c r="C191" s="82"/>
      <c r="D191" s="510"/>
      <c r="E191" s="511"/>
      <c r="F191" s="512"/>
      <c r="G191" s="513"/>
      <c r="H191" s="392"/>
      <c r="I191" s="460"/>
      <c r="J191" s="461"/>
      <c r="K191" s="461"/>
      <c r="L191" s="461"/>
      <c r="M191" s="460"/>
      <c r="N191" s="461"/>
      <c r="O191" s="514"/>
      <c r="P191" s="515"/>
      <c r="Q191" s="424"/>
      <c r="R191" s="425"/>
      <c r="S191" s="426"/>
      <c r="T191" s="405"/>
    </row>
    <row r="192" spans="2:20" s="1" customFormat="1" ht="16.5" customHeight="1">
      <c r="B192" s="509"/>
      <c r="C192" s="82"/>
      <c r="D192" s="510"/>
      <c r="E192" s="511"/>
      <c r="F192" s="512"/>
      <c r="G192" s="513"/>
      <c r="H192" s="392"/>
      <c r="I192" s="460"/>
      <c r="J192" s="461"/>
      <c r="K192" s="461"/>
      <c r="L192" s="461"/>
      <c r="M192" s="460"/>
      <c r="N192" s="461"/>
      <c r="O192" s="514"/>
      <c r="P192" s="515"/>
      <c r="Q192" s="424"/>
      <c r="R192" s="425"/>
      <c r="S192" s="426"/>
      <c r="T192" s="405"/>
    </row>
    <row r="193" spans="2:20" s="1" customFormat="1" ht="16.5" customHeight="1">
      <c r="B193" s="509"/>
      <c r="C193" s="82"/>
      <c r="D193" s="510"/>
      <c r="E193" s="511"/>
      <c r="F193" s="512"/>
      <c r="G193" s="513"/>
      <c r="H193" s="392"/>
      <c r="I193" s="460"/>
      <c r="J193" s="461"/>
      <c r="K193" s="461"/>
      <c r="L193" s="461"/>
      <c r="M193" s="460"/>
      <c r="N193" s="461"/>
      <c r="O193" s="514"/>
      <c r="P193" s="515"/>
      <c r="Q193" s="424"/>
      <c r="R193" s="425"/>
      <c r="S193" s="426"/>
      <c r="T193" s="405"/>
    </row>
    <row r="194" spans="2:20" s="1" customFormat="1" ht="16.5" customHeight="1">
      <c r="B194" s="509"/>
      <c r="C194" s="82"/>
      <c r="D194" s="510"/>
      <c r="E194" s="511"/>
      <c r="F194" s="512"/>
      <c r="G194" s="513"/>
      <c r="H194" s="392"/>
      <c r="I194" s="460"/>
      <c r="J194" s="461"/>
      <c r="K194" s="461"/>
      <c r="L194" s="461"/>
      <c r="M194" s="460"/>
      <c r="N194" s="461"/>
      <c r="O194" s="514"/>
      <c r="P194" s="515"/>
      <c r="Q194" s="424"/>
      <c r="R194" s="425"/>
      <c r="S194" s="426"/>
      <c r="T194" s="405"/>
    </row>
    <row r="195" spans="2:20" s="1" customFormat="1" ht="16.5" customHeight="1">
      <c r="B195" s="509"/>
      <c r="C195" s="82"/>
      <c r="D195" s="510"/>
      <c r="E195" s="511"/>
      <c r="F195" s="512"/>
      <c r="G195" s="513"/>
      <c r="H195" s="392"/>
      <c r="I195" s="460"/>
      <c r="J195" s="461"/>
      <c r="K195" s="461"/>
      <c r="L195" s="461"/>
      <c r="M195" s="460"/>
      <c r="N195" s="461"/>
      <c r="O195" s="514"/>
      <c r="P195" s="515"/>
      <c r="Q195" s="424"/>
      <c r="R195" s="425"/>
      <c r="S195" s="426"/>
      <c r="T195" s="405"/>
    </row>
    <row r="196" spans="2:20" s="1" customFormat="1" ht="16.5" customHeight="1">
      <c r="B196" s="509"/>
      <c r="C196" s="82"/>
      <c r="D196" s="510"/>
      <c r="E196" s="511"/>
      <c r="F196" s="512"/>
      <c r="G196" s="513"/>
      <c r="H196" s="392"/>
      <c r="I196" s="460"/>
      <c r="J196" s="461"/>
      <c r="K196" s="461"/>
      <c r="L196" s="461"/>
      <c r="M196" s="460"/>
      <c r="N196" s="461"/>
      <c r="O196" s="514"/>
      <c r="P196" s="515"/>
      <c r="Q196" s="424"/>
      <c r="R196" s="425"/>
      <c r="S196" s="426"/>
      <c r="T196" s="405"/>
    </row>
    <row r="197" spans="2:20" s="1" customFormat="1" ht="16.5" customHeight="1">
      <c r="B197" s="509"/>
      <c r="C197" s="82"/>
      <c r="D197" s="510"/>
      <c r="E197" s="511"/>
      <c r="F197" s="512"/>
      <c r="G197" s="513"/>
      <c r="H197" s="392"/>
      <c r="I197" s="460"/>
      <c r="J197" s="461"/>
      <c r="K197" s="461"/>
      <c r="L197" s="461"/>
      <c r="M197" s="460"/>
      <c r="N197" s="461"/>
      <c r="O197" s="514"/>
      <c r="P197" s="515"/>
      <c r="Q197" s="424"/>
      <c r="R197" s="425"/>
      <c r="S197" s="426"/>
      <c r="T197" s="405"/>
    </row>
    <row r="198" spans="2:20" s="1" customFormat="1" ht="16.5" customHeight="1">
      <c r="B198" s="509"/>
      <c r="C198" s="82"/>
      <c r="D198" s="510"/>
      <c r="E198" s="511"/>
      <c r="F198" s="512"/>
      <c r="G198" s="513"/>
      <c r="H198" s="392"/>
      <c r="I198" s="460"/>
      <c r="J198" s="461"/>
      <c r="K198" s="461"/>
      <c r="L198" s="461"/>
      <c r="M198" s="460"/>
      <c r="N198" s="461"/>
      <c r="O198" s="514"/>
      <c r="P198" s="515"/>
      <c r="Q198" s="424"/>
      <c r="R198" s="425"/>
      <c r="S198" s="426"/>
      <c r="T198" s="405"/>
    </row>
    <row r="199" spans="2:20" s="1" customFormat="1" ht="16.5" customHeight="1">
      <c r="B199" s="509"/>
      <c r="C199" s="82"/>
      <c r="D199" s="510"/>
      <c r="E199" s="511"/>
      <c r="F199" s="512"/>
      <c r="G199" s="513"/>
      <c r="H199" s="392"/>
      <c r="I199" s="460"/>
      <c r="J199" s="461"/>
      <c r="K199" s="461"/>
      <c r="L199" s="461"/>
      <c r="M199" s="460"/>
      <c r="N199" s="461"/>
      <c r="O199" s="514"/>
      <c r="P199" s="515"/>
      <c r="Q199" s="424"/>
      <c r="R199" s="425"/>
      <c r="S199" s="426"/>
      <c r="T199" s="405"/>
    </row>
    <row r="200" spans="2:20" s="1" customFormat="1" ht="16.5" customHeight="1">
      <c r="B200" s="509"/>
      <c r="C200" s="82"/>
      <c r="D200" s="510"/>
      <c r="E200" s="511"/>
      <c r="F200" s="512"/>
      <c r="G200" s="513"/>
      <c r="H200" s="392"/>
      <c r="I200" s="460"/>
      <c r="J200" s="461"/>
      <c r="K200" s="461"/>
      <c r="L200" s="461"/>
      <c r="M200" s="460"/>
      <c r="N200" s="461"/>
      <c r="O200" s="514"/>
      <c r="P200" s="515"/>
      <c r="Q200" s="424"/>
      <c r="R200" s="425"/>
      <c r="S200" s="426"/>
      <c r="T200" s="405"/>
    </row>
    <row r="201" spans="2:20" s="46" customFormat="1" ht="16.5" customHeight="1">
      <c r="B201" s="81"/>
      <c r="C201" s="82"/>
      <c r="D201" s="379"/>
      <c r="E201" s="83"/>
      <c r="F201" s="84"/>
      <c r="G201" s="85"/>
      <c r="H201" s="392"/>
      <c r="I201" s="414"/>
      <c r="J201" s="415"/>
      <c r="K201" s="414"/>
      <c r="L201" s="415"/>
      <c r="M201" s="414"/>
      <c r="N201" s="415"/>
      <c r="O201" s="414"/>
      <c r="P201" s="423"/>
      <c r="Q201" s="424"/>
      <c r="R201" s="425"/>
      <c r="S201" s="426"/>
      <c r="T201" s="427"/>
    </row>
    <row r="202" spans="2:20" ht="16.5" customHeight="1">
      <c r="F202" s="27"/>
      <c r="H202" s="62"/>
      <c r="R202" s="428"/>
      <c r="S202" s="429"/>
      <c r="T202" s="430"/>
    </row>
    <row r="203" spans="2:20" s="1" customFormat="1" ht="16.2">
      <c r="B203" s="2"/>
      <c r="C203" s="73"/>
      <c r="D203" s="73"/>
      <c r="E203" s="44"/>
      <c r="F203" s="2"/>
      <c r="G203" s="32"/>
      <c r="H203" s="394"/>
      <c r="I203" s="431"/>
      <c r="J203" s="394"/>
      <c r="K203" s="431"/>
      <c r="L203" s="394"/>
      <c r="M203" s="431"/>
      <c r="N203" s="394"/>
      <c r="O203" s="431"/>
      <c r="P203" s="431"/>
      <c r="Q203" s="394"/>
      <c r="R203" s="432"/>
      <c r="S203" s="433"/>
      <c r="T203" s="405"/>
    </row>
    <row r="204" spans="2:20" s="1" customFormat="1" ht="16.2">
      <c r="B204" s="2"/>
      <c r="C204" s="73"/>
      <c r="D204" s="73"/>
      <c r="E204" s="44"/>
      <c r="F204" s="3"/>
      <c r="G204" s="10"/>
      <c r="H204" s="394"/>
      <c r="I204" s="431"/>
      <c r="J204" s="394"/>
      <c r="K204" s="431"/>
      <c r="L204" s="394"/>
      <c r="M204" s="431"/>
      <c r="N204" s="394"/>
      <c r="O204" s="431"/>
      <c r="P204" s="434"/>
      <c r="Q204" s="435"/>
      <c r="R204" s="436"/>
      <c r="S204" s="437"/>
      <c r="T204" s="405"/>
    </row>
    <row r="205" spans="2:20" s="1" customFormat="1" ht="16.2">
      <c r="B205" s="2"/>
      <c r="C205" s="73"/>
      <c r="D205" s="73"/>
      <c r="E205" s="17"/>
      <c r="F205" s="10"/>
      <c r="G205" s="13"/>
      <c r="H205" s="394"/>
      <c r="I205" s="431"/>
      <c r="J205" s="394"/>
      <c r="K205" s="431"/>
      <c r="L205" s="394"/>
      <c r="M205" s="431"/>
      <c r="N205" s="394"/>
      <c r="O205" s="431"/>
      <c r="P205" s="434"/>
      <c r="Q205" s="435"/>
      <c r="R205" s="436"/>
      <c r="S205" s="437"/>
      <c r="T205" s="405"/>
    </row>
    <row r="206" spans="2:20" s="1" customFormat="1" ht="16.2">
      <c r="B206" s="2"/>
      <c r="C206" s="73"/>
      <c r="D206" s="73"/>
      <c r="E206" s="17"/>
      <c r="F206" s="10"/>
      <c r="G206" s="12"/>
      <c r="H206" s="394"/>
      <c r="I206" s="431"/>
      <c r="J206" s="394"/>
      <c r="K206" s="431"/>
      <c r="L206" s="394"/>
      <c r="M206" s="431"/>
      <c r="N206" s="394"/>
      <c r="O206" s="431"/>
      <c r="P206" s="434"/>
      <c r="Q206" s="435"/>
      <c r="R206" s="436"/>
      <c r="S206" s="437"/>
      <c r="T206" s="405"/>
    </row>
    <row r="207" spans="2:20" s="1" customFormat="1" ht="16.2">
      <c r="B207" s="12"/>
      <c r="C207" s="73"/>
      <c r="D207" s="73"/>
      <c r="E207" s="17"/>
      <c r="F207" s="2"/>
      <c r="G207" s="12"/>
      <c r="H207" s="394"/>
      <c r="I207" s="431"/>
      <c r="J207" s="394"/>
      <c r="K207" s="431"/>
      <c r="L207" s="394"/>
      <c r="M207" s="431"/>
      <c r="N207" s="394"/>
      <c r="O207" s="431"/>
      <c r="P207" s="431"/>
      <c r="Q207" s="435"/>
      <c r="R207" s="436"/>
      <c r="S207" s="437"/>
      <c r="T207" s="405"/>
    </row>
    <row r="208" spans="2:20" s="1" customFormat="1" ht="16.2">
      <c r="B208" s="2"/>
      <c r="C208" s="73"/>
      <c r="D208" s="73"/>
      <c r="E208" s="17"/>
      <c r="F208" s="11"/>
      <c r="G208" s="12"/>
      <c r="H208" s="394"/>
      <c r="I208" s="431"/>
      <c r="J208" s="394"/>
      <c r="K208" s="431"/>
      <c r="L208" s="394"/>
      <c r="M208" s="431"/>
      <c r="N208" s="394"/>
      <c r="O208" s="431"/>
      <c r="P208" s="434"/>
      <c r="Q208" s="435"/>
      <c r="R208" s="436"/>
      <c r="S208" s="437"/>
      <c r="T208" s="405"/>
    </row>
    <row r="209" spans="2:20" s="1" customFormat="1" ht="16.2">
      <c r="B209" s="2"/>
      <c r="C209" s="73"/>
      <c r="D209" s="73"/>
      <c r="E209" s="16"/>
      <c r="F209" s="2"/>
      <c r="G209" s="14"/>
      <c r="H209" s="394"/>
      <c r="I209" s="431"/>
      <c r="J209" s="394"/>
      <c r="K209" s="431"/>
      <c r="L209" s="394"/>
      <c r="M209" s="431"/>
      <c r="N209" s="394"/>
      <c r="O209" s="431"/>
      <c r="P209" s="434"/>
      <c r="Q209" s="435"/>
      <c r="R209" s="436"/>
      <c r="S209" s="437"/>
      <c r="T209" s="405"/>
    </row>
    <row r="210" spans="2:20" s="1" customFormat="1" ht="16.2">
      <c r="B210" s="2"/>
      <c r="C210" s="73"/>
      <c r="D210" s="73"/>
      <c r="E210" s="45"/>
      <c r="F210" s="2"/>
      <c r="G210" s="12"/>
      <c r="H210" s="394"/>
      <c r="I210" s="431"/>
      <c r="J210" s="394"/>
      <c r="K210" s="431"/>
      <c r="L210" s="394"/>
      <c r="M210" s="431"/>
      <c r="N210" s="394"/>
      <c r="O210" s="431"/>
      <c r="P210" s="434"/>
      <c r="Q210" s="435"/>
      <c r="R210" s="436"/>
      <c r="S210" s="437"/>
      <c r="T210" s="405"/>
    </row>
    <row r="211" spans="2:20">
      <c r="H211" s="62"/>
      <c r="R211" s="428"/>
      <c r="S211" s="429"/>
      <c r="T211" s="430"/>
    </row>
    <row r="212" spans="2:20">
      <c r="H212" s="62"/>
      <c r="R212" s="428"/>
      <c r="S212" s="429"/>
      <c r="T212" s="430"/>
    </row>
    <row r="213" spans="2:20">
      <c r="H213" s="62"/>
      <c r="R213" s="428"/>
      <c r="S213" s="429"/>
      <c r="T213" s="430"/>
    </row>
    <row r="214" spans="2:20">
      <c r="H214" s="62"/>
      <c r="R214" s="428"/>
      <c r="S214" s="429"/>
      <c r="T214" s="430"/>
    </row>
    <row r="215" spans="2:20">
      <c r="H215" s="62"/>
      <c r="R215" s="428"/>
      <c r="S215" s="429"/>
      <c r="T215" s="430"/>
    </row>
    <row r="216" spans="2:20">
      <c r="H216" s="62"/>
      <c r="R216" s="428"/>
      <c r="S216" s="429"/>
      <c r="T216" s="430"/>
    </row>
    <row r="217" spans="2:20">
      <c r="H217" s="62"/>
      <c r="R217" s="428"/>
      <c r="S217" s="429"/>
      <c r="T217" s="430"/>
    </row>
    <row r="218" spans="2:20">
      <c r="H218" s="62"/>
      <c r="R218" s="428"/>
      <c r="S218" s="429"/>
      <c r="T218" s="430"/>
    </row>
    <row r="219" spans="2:20">
      <c r="H219" s="62"/>
      <c r="R219" s="428"/>
      <c r="S219" s="429"/>
      <c r="T219" s="430"/>
    </row>
    <row r="220" spans="2:20">
      <c r="H220" s="62"/>
      <c r="R220" s="428"/>
      <c r="S220" s="429"/>
      <c r="T220" s="430"/>
    </row>
    <row r="221" spans="2:20">
      <c r="H221" s="62"/>
      <c r="R221" s="428"/>
      <c r="S221" s="429"/>
      <c r="T221" s="430"/>
    </row>
    <row r="222" spans="2:20">
      <c r="H222" s="62"/>
      <c r="R222" s="428"/>
      <c r="S222" s="429"/>
      <c r="T222" s="430"/>
    </row>
    <row r="223" spans="2:20">
      <c r="H223" s="62"/>
      <c r="R223" s="428"/>
      <c r="S223" s="429"/>
      <c r="T223" s="430"/>
    </row>
    <row r="224" spans="2:20">
      <c r="H224" s="62"/>
      <c r="R224" s="428"/>
      <c r="S224" s="429"/>
      <c r="T224" s="430"/>
    </row>
    <row r="225" spans="8:20">
      <c r="H225" s="62"/>
      <c r="R225" s="428"/>
      <c r="S225" s="429"/>
      <c r="T225" s="430"/>
    </row>
    <row r="226" spans="8:20">
      <c r="H226" s="62"/>
      <c r="R226" s="428"/>
      <c r="S226" s="429"/>
      <c r="T226" s="430"/>
    </row>
    <row r="227" spans="8:20">
      <c r="H227" s="62"/>
      <c r="R227" s="428"/>
      <c r="S227" s="429"/>
      <c r="T227" s="430"/>
    </row>
    <row r="228" spans="8:20">
      <c r="H228" s="62"/>
      <c r="R228" s="428"/>
      <c r="S228" s="429"/>
      <c r="T228" s="430"/>
    </row>
    <row r="229" spans="8:20">
      <c r="H229" s="62"/>
      <c r="R229" s="428"/>
      <c r="S229" s="429"/>
      <c r="T229" s="430"/>
    </row>
    <row r="230" spans="8:20">
      <c r="H230" s="62"/>
      <c r="R230" s="428"/>
      <c r="S230" s="429"/>
      <c r="T230" s="430"/>
    </row>
    <row r="231" spans="8:20">
      <c r="H231" s="62"/>
      <c r="R231" s="428"/>
      <c r="S231" s="429"/>
      <c r="T231" s="430"/>
    </row>
    <row r="232" spans="8:20">
      <c r="H232" s="62"/>
      <c r="R232" s="428"/>
      <c r="S232" s="429"/>
      <c r="T232" s="430"/>
    </row>
    <row r="233" spans="8:20">
      <c r="H233" s="62"/>
      <c r="R233" s="428"/>
      <c r="S233" s="429"/>
      <c r="T233" s="430"/>
    </row>
    <row r="234" spans="8:20">
      <c r="H234" s="62"/>
      <c r="R234" s="428"/>
      <c r="S234" s="429"/>
      <c r="T234" s="430"/>
    </row>
    <row r="235" spans="8:20">
      <c r="H235" s="62"/>
      <c r="R235" s="428"/>
      <c r="S235" s="429"/>
      <c r="T235" s="430"/>
    </row>
    <row r="236" spans="8:20">
      <c r="H236" s="62"/>
      <c r="R236" s="428"/>
      <c r="S236" s="429"/>
      <c r="T236" s="430"/>
    </row>
    <row r="237" spans="8:20">
      <c r="H237" s="62"/>
      <c r="R237" s="428"/>
      <c r="S237" s="429"/>
      <c r="T237" s="430"/>
    </row>
    <row r="238" spans="8:20">
      <c r="H238" s="62"/>
      <c r="R238" s="428"/>
      <c r="S238" s="429"/>
      <c r="T238" s="430"/>
    </row>
    <row r="239" spans="8:20">
      <c r="H239" s="62"/>
      <c r="R239" s="428"/>
      <c r="S239" s="429"/>
      <c r="T239" s="430"/>
    </row>
    <row r="240" spans="8:20">
      <c r="H240" s="62"/>
      <c r="R240" s="428"/>
      <c r="S240" s="429"/>
      <c r="T240" s="430"/>
    </row>
    <row r="241" spans="8:20">
      <c r="H241" s="62"/>
      <c r="R241" s="428"/>
      <c r="S241" s="429"/>
      <c r="T241" s="430"/>
    </row>
    <row r="242" spans="8:20">
      <c r="H242" s="62"/>
      <c r="R242" s="428"/>
      <c r="S242" s="429"/>
      <c r="T242" s="430"/>
    </row>
    <row r="243" spans="8:20">
      <c r="H243" s="62"/>
      <c r="R243" s="428"/>
      <c r="S243" s="429"/>
      <c r="T243" s="430"/>
    </row>
    <row r="244" spans="8:20">
      <c r="H244" s="62"/>
      <c r="R244" s="428"/>
      <c r="S244" s="429"/>
      <c r="T244" s="430"/>
    </row>
    <row r="245" spans="8:20">
      <c r="H245" s="62"/>
      <c r="R245" s="428"/>
      <c r="S245" s="429"/>
      <c r="T245" s="430"/>
    </row>
    <row r="246" spans="8:20">
      <c r="H246" s="62"/>
      <c r="R246" s="428"/>
      <c r="S246" s="429"/>
      <c r="T246" s="430"/>
    </row>
    <row r="247" spans="8:20">
      <c r="H247" s="62"/>
      <c r="R247" s="428"/>
      <c r="S247" s="429"/>
      <c r="T247" s="430"/>
    </row>
    <row r="248" spans="8:20">
      <c r="H248" s="62"/>
      <c r="R248" s="428"/>
      <c r="S248" s="429"/>
      <c r="T248" s="430"/>
    </row>
    <row r="249" spans="8:20">
      <c r="H249" s="62"/>
      <c r="R249" s="428"/>
      <c r="S249" s="429"/>
      <c r="T249" s="430"/>
    </row>
    <row r="250" spans="8:20">
      <c r="H250" s="62"/>
      <c r="R250" s="428"/>
      <c r="S250" s="429"/>
      <c r="T250" s="430"/>
    </row>
    <row r="251" spans="8:20">
      <c r="H251" s="62"/>
      <c r="R251" s="428"/>
      <c r="S251" s="429"/>
      <c r="T251" s="430"/>
    </row>
    <row r="252" spans="8:20">
      <c r="H252" s="62"/>
      <c r="R252" s="428"/>
      <c r="S252" s="429"/>
      <c r="T252" s="430"/>
    </row>
    <row r="253" spans="8:20">
      <c r="H253" s="62"/>
      <c r="R253" s="428"/>
      <c r="S253" s="429"/>
      <c r="T253" s="430"/>
    </row>
    <row r="254" spans="8:20">
      <c r="H254" s="62"/>
      <c r="R254" s="428"/>
      <c r="S254" s="429"/>
      <c r="T254" s="430"/>
    </row>
    <row r="255" spans="8:20">
      <c r="H255" s="62"/>
      <c r="R255" s="428"/>
      <c r="S255" s="429"/>
      <c r="T255" s="430"/>
    </row>
    <row r="256" spans="8:20">
      <c r="H256" s="62"/>
      <c r="R256" s="428"/>
      <c r="S256" s="429"/>
      <c r="T256" s="430"/>
    </row>
    <row r="257" spans="8:20">
      <c r="H257" s="62"/>
      <c r="R257" s="428"/>
      <c r="S257" s="429"/>
      <c r="T257" s="430"/>
    </row>
    <row r="258" spans="8:20">
      <c r="H258" s="62"/>
      <c r="R258" s="428"/>
      <c r="S258" s="429"/>
      <c r="T258" s="430"/>
    </row>
    <row r="259" spans="8:20">
      <c r="H259" s="62"/>
      <c r="R259" s="428"/>
      <c r="S259" s="429"/>
      <c r="T259" s="430"/>
    </row>
    <row r="260" spans="8:20">
      <c r="H260" s="62"/>
      <c r="R260" s="428"/>
      <c r="S260" s="429"/>
      <c r="T260" s="430"/>
    </row>
    <row r="261" spans="8:20">
      <c r="H261" s="62"/>
      <c r="R261" s="428"/>
      <c r="S261" s="429"/>
      <c r="T261" s="430"/>
    </row>
    <row r="262" spans="8:20">
      <c r="H262" s="62"/>
      <c r="R262" s="428"/>
      <c r="S262" s="429"/>
      <c r="T262" s="430"/>
    </row>
    <row r="263" spans="8:20">
      <c r="H263" s="62"/>
      <c r="R263" s="428"/>
      <c r="S263" s="429"/>
      <c r="T263" s="430"/>
    </row>
    <row r="264" spans="8:20">
      <c r="H264" s="62"/>
      <c r="R264" s="428"/>
      <c r="S264" s="429"/>
      <c r="T264" s="430"/>
    </row>
    <row r="265" spans="8:20">
      <c r="H265" s="62"/>
      <c r="R265" s="428"/>
      <c r="S265" s="429"/>
      <c r="T265" s="430"/>
    </row>
    <row r="266" spans="8:20">
      <c r="H266" s="62"/>
      <c r="R266" s="428"/>
      <c r="S266" s="429"/>
      <c r="T266" s="430"/>
    </row>
    <row r="267" spans="8:20">
      <c r="H267" s="62"/>
      <c r="R267" s="428"/>
      <c r="S267" s="429"/>
      <c r="T267" s="430"/>
    </row>
    <row r="268" spans="8:20">
      <c r="H268" s="62"/>
      <c r="R268" s="428"/>
      <c r="S268" s="429"/>
      <c r="T268" s="430"/>
    </row>
    <row r="269" spans="8:20">
      <c r="H269" s="62"/>
      <c r="R269" s="428"/>
      <c r="S269" s="429"/>
      <c r="T269" s="430"/>
    </row>
    <row r="270" spans="8:20">
      <c r="H270" s="62"/>
      <c r="R270" s="428"/>
      <c r="S270" s="429"/>
      <c r="T270" s="430"/>
    </row>
    <row r="271" spans="8:20">
      <c r="H271" s="62"/>
      <c r="R271" s="428"/>
      <c r="S271" s="429"/>
      <c r="T271" s="430"/>
    </row>
    <row r="272" spans="8:20">
      <c r="H272" s="62"/>
      <c r="R272" s="428"/>
      <c r="S272" s="429"/>
      <c r="T272" s="430"/>
    </row>
    <row r="273" spans="8:20">
      <c r="H273" s="62"/>
      <c r="R273" s="428"/>
      <c r="S273" s="429"/>
      <c r="T273" s="430"/>
    </row>
    <row r="274" spans="8:20">
      <c r="H274" s="62"/>
      <c r="R274" s="428"/>
      <c r="S274" s="429"/>
      <c r="T274" s="430"/>
    </row>
    <row r="275" spans="8:20">
      <c r="H275" s="62"/>
      <c r="R275" s="428"/>
      <c r="S275" s="429"/>
      <c r="T275" s="430"/>
    </row>
    <row r="276" spans="8:20">
      <c r="H276" s="62"/>
      <c r="R276" s="428"/>
      <c r="S276" s="429"/>
      <c r="T276" s="430"/>
    </row>
    <row r="277" spans="8:20">
      <c r="H277" s="62"/>
      <c r="R277" s="428"/>
      <c r="S277" s="429"/>
      <c r="T277" s="430"/>
    </row>
    <row r="278" spans="8:20">
      <c r="H278" s="62"/>
      <c r="R278" s="428"/>
      <c r="S278" s="429"/>
      <c r="T278" s="430"/>
    </row>
    <row r="279" spans="8:20">
      <c r="H279" s="62"/>
      <c r="R279" s="428"/>
      <c r="S279" s="429"/>
      <c r="T279" s="430"/>
    </row>
    <row r="280" spans="8:20">
      <c r="H280" s="62"/>
      <c r="R280" s="428"/>
      <c r="S280" s="429"/>
      <c r="T280" s="430"/>
    </row>
    <row r="281" spans="8:20">
      <c r="H281" s="62"/>
      <c r="R281" s="428"/>
      <c r="S281" s="429"/>
      <c r="T281" s="430"/>
    </row>
    <row r="282" spans="8:20">
      <c r="H282" s="62"/>
      <c r="R282" s="428"/>
      <c r="S282" s="429"/>
      <c r="T282" s="430"/>
    </row>
    <row r="283" spans="8:20">
      <c r="H283" s="62"/>
      <c r="R283" s="428"/>
      <c r="S283" s="429"/>
      <c r="T283" s="430"/>
    </row>
    <row r="284" spans="8:20">
      <c r="H284" s="62"/>
      <c r="R284" s="428"/>
      <c r="S284" s="429"/>
      <c r="T284" s="430"/>
    </row>
    <row r="285" spans="8:20">
      <c r="H285" s="62"/>
      <c r="R285" s="428"/>
      <c r="S285" s="429"/>
      <c r="T285" s="430"/>
    </row>
    <row r="286" spans="8:20">
      <c r="H286" s="62"/>
      <c r="R286" s="428"/>
      <c r="S286" s="429"/>
      <c r="T286" s="430"/>
    </row>
    <row r="287" spans="8:20">
      <c r="H287" s="62"/>
      <c r="R287" s="428"/>
      <c r="S287" s="429"/>
      <c r="T287" s="430"/>
    </row>
    <row r="288" spans="8:20">
      <c r="H288" s="62"/>
      <c r="R288" s="428"/>
      <c r="S288" s="429"/>
      <c r="T288" s="430"/>
    </row>
    <row r="289" spans="8:20">
      <c r="H289" s="62"/>
      <c r="R289" s="428"/>
      <c r="S289" s="429"/>
      <c r="T289" s="430"/>
    </row>
    <row r="290" spans="8:20">
      <c r="H290" s="62"/>
      <c r="R290" s="428"/>
      <c r="S290" s="429"/>
      <c r="T290" s="430"/>
    </row>
    <row r="291" spans="8:20">
      <c r="H291" s="62"/>
      <c r="R291" s="428"/>
      <c r="S291" s="429"/>
      <c r="T291" s="430"/>
    </row>
    <row r="292" spans="8:20">
      <c r="H292" s="62"/>
      <c r="R292" s="428"/>
      <c r="S292" s="429"/>
      <c r="T292" s="430"/>
    </row>
    <row r="293" spans="8:20">
      <c r="H293" s="62"/>
      <c r="R293" s="428"/>
      <c r="S293" s="429"/>
      <c r="T293" s="430"/>
    </row>
    <row r="294" spans="8:20">
      <c r="H294" s="62"/>
      <c r="R294" s="428"/>
      <c r="S294" s="429"/>
      <c r="T294" s="430"/>
    </row>
    <row r="295" spans="8:20">
      <c r="H295" s="62"/>
      <c r="R295" s="428"/>
      <c r="S295" s="429"/>
      <c r="T295" s="430"/>
    </row>
  </sheetData>
  <mergeCells count="5">
    <mergeCell ref="B3:S3"/>
    <mergeCell ref="C12:G12"/>
    <mergeCell ref="H12:Q12"/>
    <mergeCell ref="C13:G13"/>
    <mergeCell ref="H13:Q13"/>
  </mergeCells>
  <printOptions horizontalCentered="1"/>
  <pageMargins left="0.78740157480314965" right="0.59055118110236227" top="0.59055118110236227" bottom="0.59055118110236227" header="0.51181102362204722" footer="0.39370078740157483"/>
  <pageSetup paperSize="9" scale="61" orientation="portrait" horizontalDpi="4294967293" verticalDpi="4294967293" r:id="rId1"/>
  <headerFooter alignWithMargins="0">
    <oddFooter>&amp;C&amp;9&amp;P/&amp;N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3:T114"/>
  <sheetViews>
    <sheetView topLeftCell="A8" workbookViewId="0">
      <selection activeCell="G63" sqref="G63"/>
    </sheetView>
  </sheetViews>
  <sheetFormatPr defaultColWidth="9.21875" defaultRowHeight="15.6"/>
  <cols>
    <col min="1" max="1" width="9.21875" style="31"/>
    <col min="2" max="2" width="4.5546875" style="24" customWidth="1"/>
    <col min="3" max="4" width="4.77734375" style="75" customWidth="1"/>
    <col min="5" max="5" width="10.21875" style="25" customWidth="1"/>
    <col min="6" max="6" width="2" style="24" customWidth="1"/>
    <col min="7" max="7" width="28.77734375" style="26" customWidth="1"/>
    <col min="8" max="8" width="10.21875" style="402" customWidth="1"/>
    <col min="9" max="9" width="3.21875" style="80" customWidth="1"/>
    <col min="10" max="10" width="10.21875" style="62" customWidth="1"/>
    <col min="11" max="11" width="3.21875" style="80" customWidth="1"/>
    <col min="12" max="12" width="10.21875" style="62" customWidth="1"/>
    <col min="13" max="13" width="3.21875" style="80" customWidth="1"/>
    <col min="14" max="14" width="10.21875" style="62" customWidth="1"/>
    <col min="15" max="15" width="3.21875" style="80" customWidth="1"/>
    <col min="16" max="16" width="10.77734375" style="63" customWidth="1"/>
    <col min="17" max="17" width="5.77734375" style="62" customWidth="1"/>
    <col min="18" max="18" width="10.77734375" style="43" customWidth="1"/>
    <col min="19" max="19" width="7.21875" style="69" customWidth="1"/>
    <col min="20" max="16384" width="9.21875" style="31"/>
  </cols>
  <sheetData>
    <row r="3" spans="2:19" s="30" customFormat="1" ht="25.2">
      <c r="B3" s="1233" t="s">
        <v>389</v>
      </c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1233"/>
      <c r="R3" s="1233"/>
      <c r="S3" s="1233"/>
    </row>
    <row r="4" spans="2:19" s="30" customFormat="1" ht="25.2">
      <c r="B4" s="388"/>
      <c r="C4" s="388"/>
      <c r="D4" s="388"/>
      <c r="E4" s="388"/>
      <c r="F4" s="388"/>
      <c r="G4" s="388"/>
      <c r="H4" s="395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</row>
    <row r="5" spans="2:19" s="30" customFormat="1" ht="25.2">
      <c r="B5" s="388"/>
      <c r="C5" s="388"/>
      <c r="D5" s="388"/>
      <c r="E5" s="388"/>
      <c r="F5" s="388"/>
      <c r="G5" s="388"/>
      <c r="H5" s="395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2:19" s="30" customFormat="1" ht="20.399999999999999">
      <c r="B6" s="105" t="s">
        <v>384</v>
      </c>
      <c r="C6" s="3"/>
      <c r="D6" s="149"/>
      <c r="E6" s="2"/>
      <c r="F6" s="105" t="s">
        <v>26</v>
      </c>
      <c r="G6" s="105" t="s">
        <v>380</v>
      </c>
      <c r="H6" s="396"/>
      <c r="I6" s="76"/>
      <c r="J6" s="49"/>
      <c r="K6" s="76"/>
      <c r="L6" s="49"/>
      <c r="M6" s="76"/>
      <c r="N6" s="49"/>
      <c r="O6" s="76"/>
      <c r="P6" s="49"/>
      <c r="Q6" s="50"/>
      <c r="R6" s="28"/>
      <c r="S6" s="20"/>
    </row>
    <row r="7" spans="2:19" s="1" customFormat="1" ht="16.2">
      <c r="B7" s="3" t="s">
        <v>385</v>
      </c>
      <c r="C7" s="3"/>
      <c r="D7" s="149"/>
      <c r="E7" s="2"/>
      <c r="F7" s="105" t="s">
        <v>26</v>
      </c>
      <c r="G7" s="105" t="s">
        <v>377</v>
      </c>
      <c r="H7" s="397"/>
      <c r="I7" s="52"/>
      <c r="J7" s="51"/>
      <c r="K7" s="52"/>
      <c r="L7" s="51"/>
      <c r="M7" s="52"/>
      <c r="N7" s="51"/>
      <c r="O7" s="52"/>
      <c r="P7" s="52"/>
      <c r="Q7" s="51"/>
      <c r="R7" s="38"/>
      <c r="S7" s="64"/>
    </row>
    <row r="8" spans="2:19" s="1" customFormat="1" ht="16.2">
      <c r="B8" s="3" t="s">
        <v>388</v>
      </c>
      <c r="C8" s="3"/>
      <c r="D8" s="149"/>
      <c r="E8" s="2"/>
      <c r="F8" s="105" t="s">
        <v>26</v>
      </c>
      <c r="G8" s="2" t="s">
        <v>375</v>
      </c>
      <c r="H8" s="397"/>
      <c r="I8" s="52"/>
      <c r="J8" s="51"/>
      <c r="K8" s="52"/>
      <c r="L8" s="51"/>
      <c r="M8" s="52"/>
      <c r="N8" s="51"/>
      <c r="O8" s="52"/>
      <c r="P8" s="52"/>
      <c r="Q8" s="51"/>
      <c r="R8" s="38"/>
      <c r="S8" s="64"/>
    </row>
    <row r="9" spans="2:19" s="1" customFormat="1">
      <c r="B9" s="3" t="s">
        <v>386</v>
      </c>
      <c r="C9" s="3"/>
      <c r="D9" s="149"/>
      <c r="E9" s="2"/>
      <c r="F9" s="105" t="s">
        <v>26</v>
      </c>
      <c r="G9" s="347" t="s">
        <v>376</v>
      </c>
      <c r="H9" s="397"/>
      <c r="I9" s="52"/>
      <c r="J9" s="51"/>
      <c r="K9" s="52"/>
      <c r="L9" s="51"/>
      <c r="M9" s="52"/>
      <c r="N9" s="51"/>
      <c r="O9" s="52"/>
      <c r="P9" s="52"/>
      <c r="Q9" s="51"/>
      <c r="R9" s="38"/>
      <c r="S9" s="3"/>
    </row>
    <row r="10" spans="2:19" s="1" customFormat="1">
      <c r="B10" s="3" t="s">
        <v>387</v>
      </c>
      <c r="C10" s="3"/>
      <c r="D10" s="149"/>
      <c r="E10" s="2"/>
      <c r="F10" s="105" t="s">
        <v>26</v>
      </c>
      <c r="G10" s="3" t="s">
        <v>348</v>
      </c>
      <c r="H10" s="397"/>
      <c r="I10" s="52"/>
      <c r="J10" s="51"/>
      <c r="K10" s="52"/>
      <c r="L10" s="51"/>
      <c r="M10" s="52"/>
      <c r="N10" s="51"/>
      <c r="O10" s="52"/>
      <c r="P10" s="52"/>
      <c r="Q10" s="51"/>
      <c r="R10" s="38"/>
      <c r="S10" s="3"/>
    </row>
    <row r="11" spans="2:19" s="1" customFormat="1" ht="16.2" thickBot="1">
      <c r="B11" s="2"/>
      <c r="C11" s="73"/>
      <c r="D11" s="73"/>
      <c r="E11" s="3"/>
      <c r="F11" s="2"/>
      <c r="G11" s="18"/>
      <c r="H11" s="397"/>
      <c r="I11" s="52"/>
      <c r="J11" s="51"/>
      <c r="K11" s="52"/>
      <c r="L11" s="51"/>
      <c r="M11" s="52"/>
      <c r="N11" s="51"/>
      <c r="O11" s="52"/>
      <c r="P11" s="53"/>
      <c r="Q11" s="51"/>
      <c r="R11" s="39"/>
      <c r="S11" s="65"/>
    </row>
    <row r="12" spans="2:19" s="34" customFormat="1" ht="16.2" thickTop="1">
      <c r="B12" s="150" t="s">
        <v>0</v>
      </c>
      <c r="C12" s="1241" t="s">
        <v>24</v>
      </c>
      <c r="D12" s="1242"/>
      <c r="E12" s="1242"/>
      <c r="F12" s="1242"/>
      <c r="G12" s="1243"/>
      <c r="H12" s="1234" t="s">
        <v>68</v>
      </c>
      <c r="I12" s="1235"/>
      <c r="J12" s="1235"/>
      <c r="K12" s="1235"/>
      <c r="L12" s="1235"/>
      <c r="M12" s="1235"/>
      <c r="N12" s="1235"/>
      <c r="O12" s="1235"/>
      <c r="P12" s="1235"/>
      <c r="Q12" s="1235"/>
      <c r="R12" s="338" t="s">
        <v>54</v>
      </c>
      <c r="S12" s="151" t="s">
        <v>40</v>
      </c>
    </row>
    <row r="13" spans="2:19" s="1" customFormat="1" ht="16.2" thickBot="1">
      <c r="B13" s="335" t="s">
        <v>9</v>
      </c>
      <c r="C13" s="1244" t="s">
        <v>10</v>
      </c>
      <c r="D13" s="1245"/>
      <c r="E13" s="1245"/>
      <c r="F13" s="1245"/>
      <c r="G13" s="1246"/>
      <c r="H13" s="1239" t="s">
        <v>11</v>
      </c>
      <c r="I13" s="1240"/>
      <c r="J13" s="1240"/>
      <c r="K13" s="1240"/>
      <c r="L13" s="1240"/>
      <c r="M13" s="1240"/>
      <c r="N13" s="1240"/>
      <c r="O13" s="1240"/>
      <c r="P13" s="1240"/>
      <c r="Q13" s="1240"/>
      <c r="R13" s="336" t="s">
        <v>12</v>
      </c>
      <c r="S13" s="337" t="s">
        <v>13</v>
      </c>
    </row>
    <row r="14" spans="2:19" s="1" customFormat="1" ht="16.2" thickTop="1">
      <c r="B14" s="4"/>
      <c r="C14" s="74"/>
      <c r="D14" s="377"/>
      <c r="E14" s="19"/>
      <c r="F14" s="5"/>
      <c r="G14" s="21"/>
      <c r="H14" s="398"/>
      <c r="I14" s="77"/>
      <c r="J14" s="54"/>
      <c r="K14" s="77"/>
      <c r="L14" s="54"/>
      <c r="M14" s="77"/>
      <c r="N14" s="54"/>
      <c r="O14" s="77"/>
      <c r="P14" s="55"/>
      <c r="Q14" s="56"/>
      <c r="R14" s="40"/>
      <c r="S14" s="66"/>
    </row>
    <row r="15" spans="2:19" s="464" customFormat="1" ht="18">
      <c r="B15" s="468" t="str">
        <f>RAB!B579</f>
        <v>N</v>
      </c>
      <c r="C15" s="469" t="str">
        <f>RAB!C579</f>
        <v xml:space="preserve">PEKERJAAN ATAP </v>
      </c>
      <c r="D15" s="470"/>
      <c r="E15" s="471"/>
      <c r="F15" s="471"/>
      <c r="G15" s="472"/>
      <c r="H15" s="473"/>
      <c r="I15" s="474"/>
      <c r="J15" s="475"/>
      <c r="K15" s="474"/>
      <c r="L15" s="475"/>
      <c r="M15" s="474"/>
      <c r="N15" s="475"/>
      <c r="O15" s="476"/>
      <c r="P15" s="476"/>
      <c r="Q15" s="476"/>
      <c r="R15" s="477"/>
      <c r="S15" s="478"/>
    </row>
    <row r="16" spans="2:19" s="1" customFormat="1">
      <c r="B16" s="35"/>
      <c r="C16" s="48"/>
      <c r="D16" s="378"/>
      <c r="E16" s="8"/>
      <c r="F16" s="9"/>
      <c r="G16" s="36"/>
      <c r="H16" s="392"/>
      <c r="I16" s="460"/>
      <c r="J16" s="461"/>
      <c r="K16" s="460"/>
      <c r="L16" s="461"/>
      <c r="M16" s="78"/>
      <c r="N16" s="57"/>
      <c r="O16" s="79"/>
      <c r="P16" s="61"/>
      <c r="Q16" s="59"/>
      <c r="R16" s="41"/>
      <c r="S16" s="67"/>
    </row>
    <row r="17" spans="2:20" s="1" customFormat="1">
      <c r="B17" s="35"/>
      <c r="C17" s="48">
        <f>RAB!C580</f>
        <v>0</v>
      </c>
      <c r="D17" s="378">
        <f>RAB!D580</f>
        <v>1</v>
      </c>
      <c r="E17" s="8" t="str">
        <f>RAB!E580</f>
        <v>Pekerjaan Sisip Atap Bocor</v>
      </c>
      <c r="F17" s="9"/>
      <c r="G17" s="36"/>
      <c r="H17" s="508"/>
      <c r="I17" s="460"/>
      <c r="J17" s="461"/>
      <c r="K17" s="460"/>
      <c r="L17" s="461"/>
      <c r="M17" s="78"/>
      <c r="N17" s="57"/>
      <c r="O17" s="78"/>
      <c r="P17" s="61">
        <f>SUM(P20:P22)</f>
        <v>13215.555555555555</v>
      </c>
      <c r="Q17" s="59"/>
      <c r="R17" s="41">
        <f>P17</f>
        <v>13215.555555555555</v>
      </c>
      <c r="S17" s="67" t="s">
        <v>133</v>
      </c>
    </row>
    <row r="18" spans="2:20" s="1" customFormat="1">
      <c r="B18" s="35"/>
      <c r="C18" s="48" t="e">
        <f>RAB!#REF!</f>
        <v>#REF!</v>
      </c>
      <c r="D18" s="378" t="e">
        <f>RAB!#REF!</f>
        <v>#REF!</v>
      </c>
      <c r="E18" s="8" t="e">
        <f>RAB!#REF!</f>
        <v>#REF!</v>
      </c>
      <c r="F18" s="9"/>
      <c r="G18" s="36"/>
      <c r="H18" s="508">
        <v>50</v>
      </c>
      <c r="I18" s="460" t="s">
        <v>49</v>
      </c>
      <c r="J18" s="461">
        <v>6</v>
      </c>
      <c r="K18" s="460" t="s">
        <v>49</v>
      </c>
      <c r="L18" s="461">
        <v>9</v>
      </c>
      <c r="M18" s="78"/>
      <c r="N18" s="57"/>
      <c r="O18" s="78" t="s">
        <v>50</v>
      </c>
      <c r="P18" s="58">
        <f>H18*J18*L18</f>
        <v>2700</v>
      </c>
      <c r="Q18" s="59"/>
      <c r="R18" s="41">
        <f>P18</f>
        <v>2700</v>
      </c>
      <c r="S18" s="67" t="s">
        <v>133</v>
      </c>
    </row>
    <row r="19" spans="2:20" s="1" customFormat="1">
      <c r="B19" s="35"/>
      <c r="C19" s="48" t="e">
        <f>RAB!#REF!</f>
        <v>#REF!</v>
      </c>
      <c r="D19" s="378" t="e">
        <f>RAB!#REF!</f>
        <v>#REF!</v>
      </c>
      <c r="E19" s="8" t="e">
        <f>RAB!#REF!</f>
        <v>#REF!</v>
      </c>
      <c r="F19" s="9"/>
      <c r="G19" s="36"/>
      <c r="H19" s="508"/>
      <c r="I19" s="460"/>
      <c r="J19" s="461"/>
      <c r="K19" s="460"/>
      <c r="L19" s="461"/>
      <c r="M19" s="78"/>
      <c r="N19" s="57"/>
      <c r="O19" s="78"/>
      <c r="P19" s="61">
        <v>10</v>
      </c>
      <c r="Q19" s="59"/>
      <c r="R19" s="41">
        <f>P19</f>
        <v>10</v>
      </c>
      <c r="S19" s="67" t="s">
        <v>22</v>
      </c>
    </row>
    <row r="20" spans="2:20" s="1" customFormat="1">
      <c r="B20" s="35"/>
      <c r="C20" s="48" t="e">
        <f>RAB!#REF!</f>
        <v>#REF!</v>
      </c>
      <c r="D20" s="378" t="e">
        <f>RAB!#REF!</f>
        <v>#REF!</v>
      </c>
      <c r="E20" s="8" t="e">
        <f>RAB!#REF!</f>
        <v>#REF!</v>
      </c>
      <c r="F20" s="9"/>
      <c r="G20" s="36"/>
      <c r="H20" s="745">
        <v>10764</v>
      </c>
      <c r="I20" s="743" t="s">
        <v>53</v>
      </c>
      <c r="J20" s="461">
        <v>0.9</v>
      </c>
      <c r="K20" s="460"/>
      <c r="L20" s="461"/>
      <c r="M20" s="78"/>
      <c r="N20" s="57"/>
      <c r="O20" s="78"/>
      <c r="P20" s="61">
        <f>H20/J20</f>
        <v>11960</v>
      </c>
      <c r="Q20" s="59"/>
      <c r="R20" s="41">
        <f>P20</f>
        <v>11960</v>
      </c>
      <c r="S20" s="67" t="s">
        <v>133</v>
      </c>
    </row>
    <row r="21" spans="2:20" s="1" customFormat="1">
      <c r="B21" s="35"/>
      <c r="C21" s="48" t="e">
        <f>RAB!#REF!</f>
        <v>#REF!</v>
      </c>
      <c r="D21" s="378" t="e">
        <f>RAB!#REF!</f>
        <v>#REF!</v>
      </c>
      <c r="E21" s="8" t="e">
        <f>RAB!#REF!</f>
        <v>#REF!</v>
      </c>
      <c r="F21" s="9"/>
      <c r="G21" s="36"/>
      <c r="H21" s="399">
        <v>690</v>
      </c>
      <c r="I21" s="743" t="s">
        <v>53</v>
      </c>
      <c r="J21" s="461">
        <v>0.9</v>
      </c>
      <c r="K21" s="78"/>
      <c r="L21" s="57"/>
      <c r="M21" s="78"/>
      <c r="N21" s="57"/>
      <c r="O21" s="78"/>
      <c r="P21" s="61">
        <f t="shared" ref="P21:P22" si="0">H21/J21</f>
        <v>766.66666666666663</v>
      </c>
      <c r="Q21" s="59"/>
      <c r="R21" s="41">
        <f t="shared" ref="R21:R22" si="1">P21</f>
        <v>766.66666666666663</v>
      </c>
      <c r="S21" s="67" t="s">
        <v>133</v>
      </c>
    </row>
    <row r="22" spans="2:20" s="1" customFormat="1">
      <c r="B22" s="35"/>
      <c r="C22" s="48" t="e">
        <f>RAB!#REF!</f>
        <v>#REF!</v>
      </c>
      <c r="D22" s="378" t="e">
        <f>RAB!#REF!</f>
        <v>#REF!</v>
      </c>
      <c r="E22" s="8" t="e">
        <f>RAB!#REF!</f>
        <v>#REF!</v>
      </c>
      <c r="F22" s="9"/>
      <c r="G22" s="36"/>
      <c r="H22" s="392">
        <v>440</v>
      </c>
      <c r="I22" s="743" t="s">
        <v>53</v>
      </c>
      <c r="J22" s="461">
        <v>0.9</v>
      </c>
      <c r="K22" s="78"/>
      <c r="L22" s="57"/>
      <c r="M22" s="78"/>
      <c r="N22" s="57"/>
      <c r="O22" s="79"/>
      <c r="P22" s="61">
        <f t="shared" si="0"/>
        <v>488.88888888888886</v>
      </c>
      <c r="Q22" s="59"/>
      <c r="R22" s="41">
        <f t="shared" si="1"/>
        <v>488.88888888888886</v>
      </c>
      <c r="S22" s="67" t="s">
        <v>133</v>
      </c>
    </row>
    <row r="23" spans="2:20" s="1" customFormat="1">
      <c r="B23" s="35"/>
      <c r="C23" s="48"/>
      <c r="D23" s="378"/>
      <c r="E23" s="8"/>
      <c r="F23" s="9"/>
      <c r="G23" s="36"/>
      <c r="H23" s="392"/>
      <c r="I23" s="460"/>
      <c r="J23" s="461"/>
      <c r="K23" s="460"/>
      <c r="L23" s="461"/>
      <c r="M23" s="78"/>
      <c r="N23" s="57"/>
      <c r="O23" s="79"/>
      <c r="P23" s="61"/>
      <c r="Q23" s="59"/>
      <c r="R23" s="41"/>
      <c r="S23" s="67"/>
    </row>
    <row r="24" spans="2:20" s="1" customFormat="1" ht="16.2">
      <c r="B24" s="2"/>
      <c r="C24" s="73"/>
      <c r="D24" s="73"/>
      <c r="E24" s="17"/>
      <c r="F24" s="10"/>
      <c r="G24" s="13"/>
      <c r="H24" s="394"/>
      <c r="I24" s="431"/>
      <c r="J24" s="394"/>
      <c r="K24" s="431"/>
      <c r="L24" s="394"/>
      <c r="M24" s="431"/>
      <c r="N24" s="394"/>
      <c r="O24" s="431"/>
      <c r="P24" s="434"/>
      <c r="Q24" s="435"/>
      <c r="R24" s="436"/>
      <c r="S24" s="437"/>
      <c r="T24" s="405"/>
    </row>
    <row r="25" spans="2:20" s="1" customFormat="1" ht="16.2">
      <c r="B25" s="2"/>
      <c r="C25" s="73"/>
      <c r="D25" s="73"/>
      <c r="E25" s="17"/>
      <c r="F25" s="10"/>
      <c r="G25" s="744">
        <f>REKAP!J37</f>
        <v>0</v>
      </c>
      <c r="H25" s="394"/>
      <c r="I25" s="431"/>
      <c r="J25" s="394"/>
      <c r="K25" s="431"/>
      <c r="L25" s="394"/>
      <c r="M25" s="431"/>
      <c r="N25" s="394"/>
      <c r="O25" s="431"/>
      <c r="P25" s="434"/>
      <c r="Q25" s="435"/>
      <c r="R25" s="436"/>
      <c r="S25" s="437"/>
      <c r="T25" s="405"/>
    </row>
    <row r="26" spans="2:20" s="1" customFormat="1" ht="16.2">
      <c r="B26" s="12"/>
      <c r="C26" s="73"/>
      <c r="D26" s="73"/>
      <c r="E26" s="17"/>
      <c r="F26" s="2"/>
      <c r="G26" s="12"/>
      <c r="H26" s="394"/>
      <c r="I26" s="431"/>
      <c r="J26" s="394"/>
      <c r="K26" s="431"/>
      <c r="L26" s="394"/>
      <c r="M26" s="431"/>
      <c r="N26" s="394"/>
      <c r="O26" s="431"/>
      <c r="P26" s="431"/>
      <c r="Q26" s="435"/>
      <c r="R26" s="436"/>
      <c r="S26" s="437"/>
      <c r="T26" s="405"/>
    </row>
    <row r="27" spans="2:20" s="1" customFormat="1" ht="16.2">
      <c r="B27" s="2"/>
      <c r="C27" s="73"/>
      <c r="D27" s="73"/>
      <c r="E27" s="17"/>
      <c r="F27" s="11"/>
      <c r="G27" s="12"/>
      <c r="H27" s="394"/>
      <c r="I27" s="431"/>
      <c r="J27" s="394"/>
      <c r="K27" s="431"/>
      <c r="L27" s="394"/>
      <c r="M27" s="431"/>
      <c r="N27" s="394"/>
      <c r="O27" s="431"/>
      <c r="P27" s="434"/>
      <c r="Q27" s="435"/>
      <c r="R27" s="436"/>
      <c r="S27" s="437"/>
      <c r="T27" s="405"/>
    </row>
    <row r="28" spans="2:20" s="1" customFormat="1" ht="16.2">
      <c r="B28" s="2"/>
      <c r="C28" s="73"/>
      <c r="D28" s="73"/>
      <c r="E28" s="16"/>
      <c r="F28" s="2"/>
      <c r="G28" s="14"/>
      <c r="H28" s="394"/>
      <c r="I28" s="431"/>
      <c r="J28" s="394"/>
      <c r="K28" s="431"/>
      <c r="L28" s="394"/>
      <c r="M28" s="431"/>
      <c r="N28" s="394"/>
      <c r="O28" s="431"/>
      <c r="P28" s="434"/>
      <c r="Q28" s="435"/>
      <c r="R28" s="436"/>
      <c r="S28" s="437"/>
      <c r="T28" s="405"/>
    </row>
    <row r="29" spans="2:20" s="1" customFormat="1" ht="16.2">
      <c r="B29" s="2"/>
      <c r="C29" s="73"/>
      <c r="D29" s="73"/>
      <c r="E29" s="45"/>
      <c r="F29" s="2"/>
      <c r="G29" s="12"/>
      <c r="H29" s="394"/>
      <c r="I29" s="431"/>
      <c r="J29" s="394"/>
      <c r="K29" s="431"/>
      <c r="L29" s="394"/>
      <c r="M29" s="431"/>
      <c r="N29" s="394"/>
      <c r="O29" s="431"/>
      <c r="P29" s="434"/>
      <c r="Q29" s="435"/>
      <c r="R29" s="436"/>
      <c r="S29" s="437"/>
      <c r="T29" s="405"/>
    </row>
    <row r="30" spans="2:20">
      <c r="H30" s="62"/>
      <c r="R30" s="428"/>
      <c r="S30" s="429"/>
      <c r="T30" s="430"/>
    </row>
    <row r="31" spans="2:20">
      <c r="H31" s="62"/>
      <c r="R31" s="428"/>
      <c r="S31" s="429"/>
      <c r="T31" s="430"/>
    </row>
    <row r="32" spans="2:20">
      <c r="H32" s="62"/>
      <c r="R32" s="428"/>
      <c r="S32" s="429"/>
      <c r="T32" s="430"/>
    </row>
    <row r="33" spans="8:20">
      <c r="H33" s="62"/>
      <c r="R33" s="428"/>
      <c r="S33" s="429"/>
      <c r="T33" s="430"/>
    </row>
    <row r="34" spans="8:20">
      <c r="H34" s="62"/>
      <c r="R34" s="428"/>
      <c r="S34" s="429"/>
      <c r="T34" s="430"/>
    </row>
    <row r="35" spans="8:20">
      <c r="H35" s="62"/>
      <c r="R35" s="428"/>
      <c r="S35" s="429"/>
      <c r="T35" s="430"/>
    </row>
    <row r="36" spans="8:20">
      <c r="H36" s="62"/>
      <c r="R36" s="428"/>
      <c r="S36" s="429"/>
      <c r="T36" s="430"/>
    </row>
    <row r="37" spans="8:20">
      <c r="H37" s="62"/>
      <c r="R37" s="428"/>
      <c r="S37" s="429"/>
      <c r="T37" s="430"/>
    </row>
    <row r="38" spans="8:20">
      <c r="H38" s="62"/>
      <c r="R38" s="428"/>
      <c r="S38" s="429"/>
      <c r="T38" s="430"/>
    </row>
    <row r="39" spans="8:20">
      <c r="H39" s="62"/>
      <c r="R39" s="428"/>
      <c r="S39" s="429"/>
      <c r="T39" s="430"/>
    </row>
    <row r="40" spans="8:20">
      <c r="H40" s="62"/>
      <c r="R40" s="428"/>
      <c r="S40" s="429"/>
      <c r="T40" s="430"/>
    </row>
    <row r="41" spans="8:20">
      <c r="H41" s="62"/>
      <c r="R41" s="428"/>
      <c r="S41" s="429"/>
      <c r="T41" s="430"/>
    </row>
    <row r="42" spans="8:20">
      <c r="H42" s="62"/>
      <c r="R42" s="428"/>
      <c r="S42" s="429"/>
      <c r="T42" s="430"/>
    </row>
    <row r="43" spans="8:20">
      <c r="H43" s="62"/>
      <c r="R43" s="428"/>
      <c r="S43" s="429"/>
      <c r="T43" s="430"/>
    </row>
    <row r="44" spans="8:20">
      <c r="H44" s="62"/>
      <c r="R44" s="428"/>
      <c r="S44" s="429"/>
      <c r="T44" s="430"/>
    </row>
    <row r="45" spans="8:20">
      <c r="H45" s="62"/>
      <c r="R45" s="428"/>
      <c r="S45" s="429"/>
      <c r="T45" s="430"/>
    </row>
    <row r="46" spans="8:20">
      <c r="H46" s="62"/>
      <c r="R46" s="428"/>
      <c r="S46" s="429"/>
      <c r="T46" s="430"/>
    </row>
    <row r="47" spans="8:20">
      <c r="H47" s="62"/>
      <c r="R47" s="428"/>
      <c r="S47" s="429"/>
      <c r="T47" s="430"/>
    </row>
    <row r="48" spans="8:20">
      <c r="H48" s="62"/>
      <c r="R48" s="428"/>
      <c r="S48" s="429"/>
      <c r="T48" s="430"/>
    </row>
    <row r="49" spans="8:20">
      <c r="H49" s="62"/>
      <c r="R49" s="428"/>
      <c r="S49" s="429"/>
      <c r="T49" s="430"/>
    </row>
    <row r="50" spans="8:20">
      <c r="H50" s="62"/>
      <c r="R50" s="428"/>
      <c r="S50" s="429"/>
      <c r="T50" s="430"/>
    </row>
    <row r="51" spans="8:20">
      <c r="H51" s="62"/>
      <c r="R51" s="428"/>
      <c r="S51" s="429"/>
      <c r="T51" s="430"/>
    </row>
    <row r="52" spans="8:20">
      <c r="H52" s="62"/>
      <c r="R52" s="428"/>
      <c r="S52" s="429"/>
      <c r="T52" s="430"/>
    </row>
    <row r="53" spans="8:20">
      <c r="H53" s="62"/>
      <c r="R53" s="428"/>
      <c r="S53" s="429"/>
      <c r="T53" s="430"/>
    </row>
    <row r="54" spans="8:20">
      <c r="H54" s="62"/>
      <c r="R54" s="428"/>
      <c r="S54" s="429"/>
      <c r="T54" s="430"/>
    </row>
    <row r="55" spans="8:20">
      <c r="H55" s="62"/>
      <c r="R55" s="428"/>
      <c r="S55" s="429"/>
      <c r="T55" s="430"/>
    </row>
    <row r="56" spans="8:20">
      <c r="H56" s="62"/>
      <c r="R56" s="428"/>
      <c r="S56" s="429"/>
      <c r="T56" s="430"/>
    </row>
    <row r="57" spans="8:20">
      <c r="H57" s="62"/>
      <c r="R57" s="428"/>
      <c r="S57" s="429"/>
      <c r="T57" s="430"/>
    </row>
    <row r="58" spans="8:20">
      <c r="H58" s="62"/>
      <c r="R58" s="428"/>
      <c r="S58" s="429"/>
      <c r="T58" s="430"/>
    </row>
    <row r="59" spans="8:20">
      <c r="H59" s="62"/>
      <c r="R59" s="428"/>
      <c r="S59" s="429"/>
      <c r="T59" s="430"/>
    </row>
    <row r="60" spans="8:20">
      <c r="H60" s="62"/>
      <c r="R60" s="428"/>
      <c r="S60" s="429"/>
      <c r="T60" s="430"/>
    </row>
    <row r="61" spans="8:20">
      <c r="H61" s="62"/>
      <c r="R61" s="428"/>
      <c r="S61" s="429"/>
      <c r="T61" s="430"/>
    </row>
    <row r="62" spans="8:20">
      <c r="H62" s="62"/>
      <c r="R62" s="428"/>
      <c r="S62" s="429"/>
      <c r="T62" s="430"/>
    </row>
    <row r="63" spans="8:20">
      <c r="H63" s="62"/>
      <c r="R63" s="428"/>
      <c r="S63" s="429"/>
      <c r="T63" s="430"/>
    </row>
    <row r="64" spans="8:20">
      <c r="H64" s="62"/>
      <c r="R64" s="428"/>
      <c r="S64" s="429"/>
      <c r="T64" s="430"/>
    </row>
    <row r="65" spans="8:20">
      <c r="H65" s="62"/>
      <c r="R65" s="428"/>
      <c r="S65" s="429"/>
      <c r="T65" s="430"/>
    </row>
    <row r="66" spans="8:20">
      <c r="H66" s="62"/>
      <c r="R66" s="428"/>
      <c r="S66" s="429"/>
      <c r="T66" s="430"/>
    </row>
    <row r="67" spans="8:20">
      <c r="H67" s="62"/>
      <c r="R67" s="428"/>
      <c r="S67" s="429"/>
      <c r="T67" s="430"/>
    </row>
    <row r="68" spans="8:20">
      <c r="H68" s="62"/>
      <c r="R68" s="428"/>
      <c r="S68" s="429"/>
      <c r="T68" s="430"/>
    </row>
    <row r="69" spans="8:20">
      <c r="H69" s="62"/>
      <c r="R69" s="428"/>
      <c r="S69" s="429"/>
      <c r="T69" s="430"/>
    </row>
    <row r="70" spans="8:20">
      <c r="H70" s="62"/>
      <c r="R70" s="428"/>
      <c r="S70" s="429"/>
      <c r="T70" s="430"/>
    </row>
    <row r="71" spans="8:20">
      <c r="H71" s="62"/>
      <c r="R71" s="428"/>
      <c r="S71" s="429"/>
      <c r="T71" s="430"/>
    </row>
    <row r="72" spans="8:20">
      <c r="H72" s="62"/>
      <c r="R72" s="428"/>
      <c r="S72" s="429"/>
      <c r="T72" s="430"/>
    </row>
    <row r="73" spans="8:20">
      <c r="H73" s="62"/>
      <c r="R73" s="428"/>
      <c r="S73" s="429"/>
      <c r="T73" s="430"/>
    </row>
    <row r="74" spans="8:20">
      <c r="H74" s="62"/>
      <c r="R74" s="428"/>
      <c r="S74" s="429"/>
      <c r="T74" s="430"/>
    </row>
    <row r="75" spans="8:20">
      <c r="H75" s="62"/>
      <c r="R75" s="428"/>
      <c r="S75" s="429"/>
      <c r="T75" s="430"/>
    </row>
    <row r="76" spans="8:20">
      <c r="H76" s="62"/>
      <c r="R76" s="428"/>
      <c r="S76" s="429"/>
      <c r="T76" s="430"/>
    </row>
    <row r="77" spans="8:20">
      <c r="H77" s="62"/>
      <c r="R77" s="428"/>
      <c r="S77" s="429"/>
      <c r="T77" s="430"/>
    </row>
    <row r="78" spans="8:20">
      <c r="H78" s="62"/>
      <c r="R78" s="428"/>
      <c r="S78" s="429"/>
      <c r="T78" s="430"/>
    </row>
    <row r="79" spans="8:20">
      <c r="H79" s="62"/>
      <c r="R79" s="428"/>
      <c r="S79" s="429"/>
      <c r="T79" s="430"/>
    </row>
    <row r="80" spans="8:20">
      <c r="H80" s="62"/>
      <c r="R80" s="428"/>
      <c r="S80" s="429"/>
      <c r="T80" s="430"/>
    </row>
    <row r="81" spans="8:20">
      <c r="H81" s="62"/>
      <c r="R81" s="428"/>
      <c r="S81" s="429"/>
      <c r="T81" s="430"/>
    </row>
    <row r="82" spans="8:20">
      <c r="H82" s="62"/>
      <c r="R82" s="428"/>
      <c r="S82" s="429"/>
      <c r="T82" s="430"/>
    </row>
    <row r="83" spans="8:20">
      <c r="H83" s="62"/>
      <c r="R83" s="428"/>
      <c r="S83" s="429"/>
      <c r="T83" s="430"/>
    </row>
    <row r="84" spans="8:20">
      <c r="H84" s="62"/>
      <c r="R84" s="428"/>
      <c r="S84" s="429"/>
      <c r="T84" s="430"/>
    </row>
    <row r="85" spans="8:20">
      <c r="H85" s="62"/>
      <c r="R85" s="428"/>
      <c r="S85" s="429"/>
      <c r="T85" s="430"/>
    </row>
    <row r="86" spans="8:20">
      <c r="H86" s="62"/>
      <c r="R86" s="428"/>
      <c r="S86" s="429"/>
      <c r="T86" s="430"/>
    </row>
    <row r="87" spans="8:20">
      <c r="H87" s="62"/>
      <c r="R87" s="428"/>
      <c r="S87" s="429"/>
      <c r="T87" s="430"/>
    </row>
    <row r="88" spans="8:20">
      <c r="H88" s="62"/>
      <c r="R88" s="428"/>
      <c r="S88" s="429"/>
      <c r="T88" s="430"/>
    </row>
    <row r="89" spans="8:20">
      <c r="H89" s="62"/>
      <c r="R89" s="428"/>
      <c r="S89" s="429"/>
      <c r="T89" s="430"/>
    </row>
    <row r="90" spans="8:20">
      <c r="H90" s="62"/>
      <c r="R90" s="428"/>
      <c r="S90" s="429"/>
      <c r="T90" s="430"/>
    </row>
    <row r="91" spans="8:20">
      <c r="H91" s="62"/>
      <c r="R91" s="428"/>
      <c r="S91" s="429"/>
      <c r="T91" s="430"/>
    </row>
    <row r="92" spans="8:20">
      <c r="H92" s="62"/>
      <c r="R92" s="428"/>
      <c r="S92" s="429"/>
      <c r="T92" s="430"/>
    </row>
    <row r="93" spans="8:20">
      <c r="H93" s="62"/>
      <c r="R93" s="428"/>
      <c r="S93" s="429"/>
      <c r="T93" s="430"/>
    </row>
    <row r="94" spans="8:20">
      <c r="H94" s="62"/>
      <c r="R94" s="428"/>
      <c r="S94" s="429"/>
      <c r="T94" s="430"/>
    </row>
    <row r="95" spans="8:20">
      <c r="H95" s="62"/>
      <c r="R95" s="428"/>
      <c r="S95" s="429"/>
      <c r="T95" s="430"/>
    </row>
    <row r="96" spans="8:20">
      <c r="H96" s="62"/>
      <c r="R96" s="428"/>
      <c r="S96" s="429"/>
      <c r="T96" s="430"/>
    </row>
    <row r="97" spans="8:20">
      <c r="H97" s="62"/>
      <c r="R97" s="428"/>
      <c r="S97" s="429"/>
      <c r="T97" s="430"/>
    </row>
    <row r="98" spans="8:20">
      <c r="H98" s="62"/>
      <c r="R98" s="428"/>
      <c r="S98" s="429"/>
      <c r="T98" s="430"/>
    </row>
    <row r="99" spans="8:20">
      <c r="H99" s="62"/>
      <c r="R99" s="428"/>
      <c r="S99" s="429"/>
      <c r="T99" s="430"/>
    </row>
    <row r="100" spans="8:20">
      <c r="H100" s="62"/>
      <c r="R100" s="428"/>
      <c r="S100" s="429"/>
      <c r="T100" s="430"/>
    </row>
    <row r="101" spans="8:20">
      <c r="H101" s="62"/>
      <c r="R101" s="428"/>
      <c r="S101" s="429"/>
      <c r="T101" s="430"/>
    </row>
    <row r="102" spans="8:20">
      <c r="H102" s="62"/>
      <c r="R102" s="428"/>
      <c r="S102" s="429"/>
      <c r="T102" s="430"/>
    </row>
    <row r="103" spans="8:20">
      <c r="H103" s="62"/>
      <c r="R103" s="428"/>
      <c r="S103" s="429"/>
      <c r="T103" s="430"/>
    </row>
    <row r="104" spans="8:20">
      <c r="H104" s="62"/>
      <c r="R104" s="428"/>
      <c r="S104" s="429"/>
      <c r="T104" s="430"/>
    </row>
    <row r="105" spans="8:20">
      <c r="H105" s="62"/>
      <c r="R105" s="428"/>
      <c r="S105" s="429"/>
      <c r="T105" s="430"/>
    </row>
    <row r="106" spans="8:20">
      <c r="H106" s="62"/>
      <c r="R106" s="428"/>
      <c r="S106" s="429"/>
      <c r="T106" s="430"/>
    </row>
    <row r="107" spans="8:20">
      <c r="H107" s="62"/>
      <c r="R107" s="428"/>
      <c r="S107" s="429"/>
      <c r="T107" s="430"/>
    </row>
    <row r="108" spans="8:20">
      <c r="H108" s="62"/>
      <c r="R108" s="428"/>
      <c r="S108" s="429"/>
      <c r="T108" s="430"/>
    </row>
    <row r="109" spans="8:20">
      <c r="H109" s="62"/>
      <c r="R109" s="428"/>
      <c r="S109" s="429"/>
      <c r="T109" s="430"/>
    </row>
    <row r="110" spans="8:20">
      <c r="H110" s="62"/>
      <c r="R110" s="428"/>
      <c r="S110" s="429"/>
      <c r="T110" s="430"/>
    </row>
    <row r="111" spans="8:20">
      <c r="H111" s="62"/>
      <c r="R111" s="428"/>
      <c r="S111" s="429"/>
      <c r="T111" s="430"/>
    </row>
    <row r="112" spans="8:20">
      <c r="H112" s="62"/>
      <c r="R112" s="428"/>
      <c r="S112" s="429"/>
      <c r="T112" s="430"/>
    </row>
    <row r="113" spans="8:20">
      <c r="H113" s="62"/>
      <c r="R113" s="428"/>
      <c r="S113" s="429"/>
      <c r="T113" s="430"/>
    </row>
    <row r="114" spans="8:20">
      <c r="H114" s="62"/>
      <c r="R114" s="428"/>
      <c r="S114" s="429"/>
      <c r="T114" s="430"/>
    </row>
  </sheetData>
  <mergeCells count="5">
    <mergeCell ref="B3:S3"/>
    <mergeCell ref="C12:G12"/>
    <mergeCell ref="H12:Q12"/>
    <mergeCell ref="C13:G13"/>
    <mergeCell ref="H13:Q1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outlinePr summaryBelow="0" summaryRight="0"/>
  </sheetPr>
  <dimension ref="B3:I143"/>
  <sheetViews>
    <sheetView view="pageBreakPreview" topLeftCell="A73" zoomScaleNormal="100" zoomScaleSheetLayoutView="100" workbookViewId="0">
      <selection activeCell="G63" sqref="G63"/>
    </sheetView>
  </sheetViews>
  <sheetFormatPr defaultRowHeight="13.8" outlineLevelRow="1"/>
  <cols>
    <col min="1" max="1" width="5.77734375" style="146" customWidth="1"/>
    <col min="2" max="2" width="13.77734375" style="147" customWidth="1"/>
    <col min="3" max="3" width="88.21875" style="146" customWidth="1"/>
    <col min="4" max="4" width="20.33203125" style="148" customWidth="1"/>
    <col min="5" max="5" width="12.44140625" style="146" bestFit="1" customWidth="1"/>
    <col min="6" max="6" width="9.21875" style="146"/>
    <col min="7" max="7" width="27.77734375" style="146" customWidth="1"/>
    <col min="8" max="257" width="9.21875" style="146"/>
    <col min="258" max="258" width="9.44140625" style="146" customWidth="1"/>
    <col min="259" max="259" width="54" style="146" customWidth="1"/>
    <col min="260" max="260" width="17.21875" style="146" customWidth="1"/>
    <col min="261" max="513" width="9.21875" style="146"/>
    <col min="514" max="514" width="9.44140625" style="146" customWidth="1"/>
    <col min="515" max="515" width="54" style="146" customWidth="1"/>
    <col min="516" max="516" width="17.21875" style="146" customWidth="1"/>
    <col min="517" max="769" width="9.21875" style="146"/>
    <col min="770" max="770" width="9.44140625" style="146" customWidth="1"/>
    <col min="771" max="771" width="54" style="146" customWidth="1"/>
    <col min="772" max="772" width="17.21875" style="146" customWidth="1"/>
    <col min="773" max="1025" width="9.21875" style="146"/>
    <col min="1026" max="1026" width="9.44140625" style="146" customWidth="1"/>
    <col min="1027" max="1027" width="54" style="146" customWidth="1"/>
    <col min="1028" max="1028" width="17.21875" style="146" customWidth="1"/>
    <col min="1029" max="1281" width="9.21875" style="146"/>
    <col min="1282" max="1282" width="9.44140625" style="146" customWidth="1"/>
    <col min="1283" max="1283" width="54" style="146" customWidth="1"/>
    <col min="1284" max="1284" width="17.21875" style="146" customWidth="1"/>
    <col min="1285" max="1537" width="9.21875" style="146"/>
    <col min="1538" max="1538" width="9.44140625" style="146" customWidth="1"/>
    <col min="1539" max="1539" width="54" style="146" customWidth="1"/>
    <col min="1540" max="1540" width="17.21875" style="146" customWidth="1"/>
    <col min="1541" max="1793" width="9.21875" style="146"/>
    <col min="1794" max="1794" width="9.44140625" style="146" customWidth="1"/>
    <col min="1795" max="1795" width="54" style="146" customWidth="1"/>
    <col min="1796" max="1796" width="17.21875" style="146" customWidth="1"/>
    <col min="1797" max="2049" width="9.21875" style="146"/>
    <col min="2050" max="2050" width="9.44140625" style="146" customWidth="1"/>
    <col min="2051" max="2051" width="54" style="146" customWidth="1"/>
    <col min="2052" max="2052" width="17.21875" style="146" customWidth="1"/>
    <col min="2053" max="2305" width="9.21875" style="146"/>
    <col min="2306" max="2306" width="9.44140625" style="146" customWidth="1"/>
    <col min="2307" max="2307" width="54" style="146" customWidth="1"/>
    <col min="2308" max="2308" width="17.21875" style="146" customWidth="1"/>
    <col min="2309" max="2561" width="9.21875" style="146"/>
    <col min="2562" max="2562" width="9.44140625" style="146" customWidth="1"/>
    <col min="2563" max="2563" width="54" style="146" customWidth="1"/>
    <col min="2564" max="2564" width="17.21875" style="146" customWidth="1"/>
    <col min="2565" max="2817" width="9.21875" style="146"/>
    <col min="2818" max="2818" width="9.44140625" style="146" customWidth="1"/>
    <col min="2819" max="2819" width="54" style="146" customWidth="1"/>
    <col min="2820" max="2820" width="17.21875" style="146" customWidth="1"/>
    <col min="2821" max="3073" width="9.21875" style="146"/>
    <col min="3074" max="3074" width="9.44140625" style="146" customWidth="1"/>
    <col min="3075" max="3075" width="54" style="146" customWidth="1"/>
    <col min="3076" max="3076" width="17.21875" style="146" customWidth="1"/>
    <col min="3077" max="3329" width="9.21875" style="146"/>
    <col min="3330" max="3330" width="9.44140625" style="146" customWidth="1"/>
    <col min="3331" max="3331" width="54" style="146" customWidth="1"/>
    <col min="3332" max="3332" width="17.21875" style="146" customWidth="1"/>
    <col min="3333" max="3585" width="9.21875" style="146"/>
    <col min="3586" max="3586" width="9.44140625" style="146" customWidth="1"/>
    <col min="3587" max="3587" width="54" style="146" customWidth="1"/>
    <col min="3588" max="3588" width="17.21875" style="146" customWidth="1"/>
    <col min="3589" max="3841" width="9.21875" style="146"/>
    <col min="3842" max="3842" width="9.44140625" style="146" customWidth="1"/>
    <col min="3843" max="3843" width="54" style="146" customWidth="1"/>
    <col min="3844" max="3844" width="17.21875" style="146" customWidth="1"/>
    <col min="3845" max="4097" width="9.21875" style="146"/>
    <col min="4098" max="4098" width="9.44140625" style="146" customWidth="1"/>
    <col min="4099" max="4099" width="54" style="146" customWidth="1"/>
    <col min="4100" max="4100" width="17.21875" style="146" customWidth="1"/>
    <col min="4101" max="4353" width="9.21875" style="146"/>
    <col min="4354" max="4354" width="9.44140625" style="146" customWidth="1"/>
    <col min="4355" max="4355" width="54" style="146" customWidth="1"/>
    <col min="4356" max="4356" width="17.21875" style="146" customWidth="1"/>
    <col min="4357" max="4609" width="9.21875" style="146"/>
    <col min="4610" max="4610" width="9.44140625" style="146" customWidth="1"/>
    <col min="4611" max="4611" width="54" style="146" customWidth="1"/>
    <col min="4612" max="4612" width="17.21875" style="146" customWidth="1"/>
    <col min="4613" max="4865" width="9.21875" style="146"/>
    <col min="4866" max="4866" width="9.44140625" style="146" customWidth="1"/>
    <col min="4867" max="4867" width="54" style="146" customWidth="1"/>
    <col min="4868" max="4868" width="17.21875" style="146" customWidth="1"/>
    <col min="4869" max="5121" width="9.21875" style="146"/>
    <col min="5122" max="5122" width="9.44140625" style="146" customWidth="1"/>
    <col min="5123" max="5123" width="54" style="146" customWidth="1"/>
    <col min="5124" max="5124" width="17.21875" style="146" customWidth="1"/>
    <col min="5125" max="5377" width="9.21875" style="146"/>
    <col min="5378" max="5378" width="9.44140625" style="146" customWidth="1"/>
    <col min="5379" max="5379" width="54" style="146" customWidth="1"/>
    <col min="5380" max="5380" width="17.21875" style="146" customWidth="1"/>
    <col min="5381" max="5633" width="9.21875" style="146"/>
    <col min="5634" max="5634" width="9.44140625" style="146" customWidth="1"/>
    <col min="5635" max="5635" width="54" style="146" customWidth="1"/>
    <col min="5636" max="5636" width="17.21875" style="146" customWidth="1"/>
    <col min="5637" max="5889" width="9.21875" style="146"/>
    <col min="5890" max="5890" width="9.44140625" style="146" customWidth="1"/>
    <col min="5891" max="5891" width="54" style="146" customWidth="1"/>
    <col min="5892" max="5892" width="17.21875" style="146" customWidth="1"/>
    <col min="5893" max="6145" width="9.21875" style="146"/>
    <col min="6146" max="6146" width="9.44140625" style="146" customWidth="1"/>
    <col min="6147" max="6147" width="54" style="146" customWidth="1"/>
    <col min="6148" max="6148" width="17.21875" style="146" customWidth="1"/>
    <col min="6149" max="6401" width="9.21875" style="146"/>
    <col min="6402" max="6402" width="9.44140625" style="146" customWidth="1"/>
    <col min="6403" max="6403" width="54" style="146" customWidth="1"/>
    <col min="6404" max="6404" width="17.21875" style="146" customWidth="1"/>
    <col min="6405" max="6657" width="9.21875" style="146"/>
    <col min="6658" max="6658" width="9.44140625" style="146" customWidth="1"/>
    <col min="6659" max="6659" width="54" style="146" customWidth="1"/>
    <col min="6660" max="6660" width="17.21875" style="146" customWidth="1"/>
    <col min="6661" max="6913" width="9.21875" style="146"/>
    <col min="6914" max="6914" width="9.44140625" style="146" customWidth="1"/>
    <col min="6915" max="6915" width="54" style="146" customWidth="1"/>
    <col min="6916" max="6916" width="17.21875" style="146" customWidth="1"/>
    <col min="6917" max="7169" width="9.21875" style="146"/>
    <col min="7170" max="7170" width="9.44140625" style="146" customWidth="1"/>
    <col min="7171" max="7171" width="54" style="146" customWidth="1"/>
    <col min="7172" max="7172" width="17.21875" style="146" customWidth="1"/>
    <col min="7173" max="7425" width="9.21875" style="146"/>
    <col min="7426" max="7426" width="9.44140625" style="146" customWidth="1"/>
    <col min="7427" max="7427" width="54" style="146" customWidth="1"/>
    <col min="7428" max="7428" width="17.21875" style="146" customWidth="1"/>
    <col min="7429" max="7681" width="9.21875" style="146"/>
    <col min="7682" max="7682" width="9.44140625" style="146" customWidth="1"/>
    <col min="7683" max="7683" width="54" style="146" customWidth="1"/>
    <col min="7684" max="7684" width="17.21875" style="146" customWidth="1"/>
    <col min="7685" max="7937" width="9.21875" style="146"/>
    <col min="7938" max="7938" width="9.44140625" style="146" customWidth="1"/>
    <col min="7939" max="7939" width="54" style="146" customWidth="1"/>
    <col min="7940" max="7940" width="17.21875" style="146" customWidth="1"/>
    <col min="7941" max="8193" width="9.21875" style="146"/>
    <col min="8194" max="8194" width="9.44140625" style="146" customWidth="1"/>
    <col min="8195" max="8195" width="54" style="146" customWidth="1"/>
    <col min="8196" max="8196" width="17.21875" style="146" customWidth="1"/>
    <col min="8197" max="8449" width="9.21875" style="146"/>
    <col min="8450" max="8450" width="9.44140625" style="146" customWidth="1"/>
    <col min="8451" max="8451" width="54" style="146" customWidth="1"/>
    <col min="8452" max="8452" width="17.21875" style="146" customWidth="1"/>
    <col min="8453" max="8705" width="9.21875" style="146"/>
    <col min="8706" max="8706" width="9.44140625" style="146" customWidth="1"/>
    <col min="8707" max="8707" width="54" style="146" customWidth="1"/>
    <col min="8708" max="8708" width="17.21875" style="146" customWidth="1"/>
    <col min="8709" max="8961" width="9.21875" style="146"/>
    <col min="8962" max="8962" width="9.44140625" style="146" customWidth="1"/>
    <col min="8963" max="8963" width="54" style="146" customWidth="1"/>
    <col min="8964" max="8964" width="17.21875" style="146" customWidth="1"/>
    <col min="8965" max="9217" width="9.21875" style="146"/>
    <col min="9218" max="9218" width="9.44140625" style="146" customWidth="1"/>
    <col min="9219" max="9219" width="54" style="146" customWidth="1"/>
    <col min="9220" max="9220" width="17.21875" style="146" customWidth="1"/>
    <col min="9221" max="9473" width="9.21875" style="146"/>
    <col min="9474" max="9474" width="9.44140625" style="146" customWidth="1"/>
    <col min="9475" max="9475" width="54" style="146" customWidth="1"/>
    <col min="9476" max="9476" width="17.21875" style="146" customWidth="1"/>
    <col min="9477" max="9729" width="9.21875" style="146"/>
    <col min="9730" max="9730" width="9.44140625" style="146" customWidth="1"/>
    <col min="9731" max="9731" width="54" style="146" customWidth="1"/>
    <col min="9732" max="9732" width="17.21875" style="146" customWidth="1"/>
    <col min="9733" max="9985" width="9.21875" style="146"/>
    <col min="9986" max="9986" width="9.44140625" style="146" customWidth="1"/>
    <col min="9987" max="9987" width="54" style="146" customWidth="1"/>
    <col min="9988" max="9988" width="17.21875" style="146" customWidth="1"/>
    <col min="9989" max="10241" width="9.21875" style="146"/>
    <col min="10242" max="10242" width="9.44140625" style="146" customWidth="1"/>
    <col min="10243" max="10243" width="54" style="146" customWidth="1"/>
    <col min="10244" max="10244" width="17.21875" style="146" customWidth="1"/>
    <col min="10245" max="10497" width="9.21875" style="146"/>
    <col min="10498" max="10498" width="9.44140625" style="146" customWidth="1"/>
    <col min="10499" max="10499" width="54" style="146" customWidth="1"/>
    <col min="10500" max="10500" width="17.21875" style="146" customWidth="1"/>
    <col min="10501" max="10753" width="9.21875" style="146"/>
    <col min="10754" max="10754" width="9.44140625" style="146" customWidth="1"/>
    <col min="10755" max="10755" width="54" style="146" customWidth="1"/>
    <col min="10756" max="10756" width="17.21875" style="146" customWidth="1"/>
    <col min="10757" max="11009" width="9.21875" style="146"/>
    <col min="11010" max="11010" width="9.44140625" style="146" customWidth="1"/>
    <col min="11011" max="11011" width="54" style="146" customWidth="1"/>
    <col min="11012" max="11012" width="17.21875" style="146" customWidth="1"/>
    <col min="11013" max="11265" width="9.21875" style="146"/>
    <col min="11266" max="11266" width="9.44140625" style="146" customWidth="1"/>
    <col min="11267" max="11267" width="54" style="146" customWidth="1"/>
    <col min="11268" max="11268" width="17.21875" style="146" customWidth="1"/>
    <col min="11269" max="11521" width="9.21875" style="146"/>
    <col min="11522" max="11522" width="9.44140625" style="146" customWidth="1"/>
    <col min="11523" max="11523" width="54" style="146" customWidth="1"/>
    <col min="11524" max="11524" width="17.21875" style="146" customWidth="1"/>
    <col min="11525" max="11777" width="9.21875" style="146"/>
    <col min="11778" max="11778" width="9.44140625" style="146" customWidth="1"/>
    <col min="11779" max="11779" width="54" style="146" customWidth="1"/>
    <col min="11780" max="11780" width="17.21875" style="146" customWidth="1"/>
    <col min="11781" max="12033" width="9.21875" style="146"/>
    <col min="12034" max="12034" width="9.44140625" style="146" customWidth="1"/>
    <col min="12035" max="12035" width="54" style="146" customWidth="1"/>
    <col min="12036" max="12036" width="17.21875" style="146" customWidth="1"/>
    <col min="12037" max="12289" width="9.21875" style="146"/>
    <col min="12290" max="12290" width="9.44140625" style="146" customWidth="1"/>
    <col min="12291" max="12291" width="54" style="146" customWidth="1"/>
    <col min="12292" max="12292" width="17.21875" style="146" customWidth="1"/>
    <col min="12293" max="12545" width="9.21875" style="146"/>
    <col min="12546" max="12546" width="9.44140625" style="146" customWidth="1"/>
    <col min="12547" max="12547" width="54" style="146" customWidth="1"/>
    <col min="12548" max="12548" width="17.21875" style="146" customWidth="1"/>
    <col min="12549" max="12801" width="9.21875" style="146"/>
    <col min="12802" max="12802" width="9.44140625" style="146" customWidth="1"/>
    <col min="12803" max="12803" width="54" style="146" customWidth="1"/>
    <col min="12804" max="12804" width="17.21875" style="146" customWidth="1"/>
    <col min="12805" max="13057" width="9.21875" style="146"/>
    <col min="13058" max="13058" width="9.44140625" style="146" customWidth="1"/>
    <col min="13059" max="13059" width="54" style="146" customWidth="1"/>
    <col min="13060" max="13060" width="17.21875" style="146" customWidth="1"/>
    <col min="13061" max="13313" width="9.21875" style="146"/>
    <col min="13314" max="13314" width="9.44140625" style="146" customWidth="1"/>
    <col min="13315" max="13315" width="54" style="146" customWidth="1"/>
    <col min="13316" max="13316" width="17.21875" style="146" customWidth="1"/>
    <col min="13317" max="13569" width="9.21875" style="146"/>
    <col min="13570" max="13570" width="9.44140625" style="146" customWidth="1"/>
    <col min="13571" max="13571" width="54" style="146" customWidth="1"/>
    <col min="13572" max="13572" width="17.21875" style="146" customWidth="1"/>
    <col min="13573" max="13825" width="9.21875" style="146"/>
    <col min="13826" max="13826" width="9.44140625" style="146" customWidth="1"/>
    <col min="13827" max="13827" width="54" style="146" customWidth="1"/>
    <col min="13828" max="13828" width="17.21875" style="146" customWidth="1"/>
    <col min="13829" max="14081" width="9.21875" style="146"/>
    <col min="14082" max="14082" width="9.44140625" style="146" customWidth="1"/>
    <col min="14083" max="14083" width="54" style="146" customWidth="1"/>
    <col min="14084" max="14084" width="17.21875" style="146" customWidth="1"/>
    <col min="14085" max="14337" width="9.21875" style="146"/>
    <col min="14338" max="14338" width="9.44140625" style="146" customWidth="1"/>
    <col min="14339" max="14339" width="54" style="146" customWidth="1"/>
    <col min="14340" max="14340" width="17.21875" style="146" customWidth="1"/>
    <col min="14341" max="14593" width="9.21875" style="146"/>
    <col min="14594" max="14594" width="9.44140625" style="146" customWidth="1"/>
    <col min="14595" max="14595" width="54" style="146" customWidth="1"/>
    <col min="14596" max="14596" width="17.21875" style="146" customWidth="1"/>
    <col min="14597" max="14849" width="9.21875" style="146"/>
    <col min="14850" max="14850" width="9.44140625" style="146" customWidth="1"/>
    <col min="14851" max="14851" width="54" style="146" customWidth="1"/>
    <col min="14852" max="14852" width="17.21875" style="146" customWidth="1"/>
    <col min="14853" max="15105" width="9.21875" style="146"/>
    <col min="15106" max="15106" width="9.44140625" style="146" customWidth="1"/>
    <col min="15107" max="15107" width="54" style="146" customWidth="1"/>
    <col min="15108" max="15108" width="17.21875" style="146" customWidth="1"/>
    <col min="15109" max="15361" width="9.21875" style="146"/>
    <col min="15362" max="15362" width="9.44140625" style="146" customWidth="1"/>
    <col min="15363" max="15363" width="54" style="146" customWidth="1"/>
    <col min="15364" max="15364" width="17.21875" style="146" customWidth="1"/>
    <col min="15365" max="15617" width="9.21875" style="146"/>
    <col min="15618" max="15618" width="9.44140625" style="146" customWidth="1"/>
    <col min="15619" max="15619" width="54" style="146" customWidth="1"/>
    <col min="15620" max="15620" width="17.21875" style="146" customWidth="1"/>
    <col min="15621" max="15873" width="9.21875" style="146"/>
    <col min="15874" max="15874" width="9.44140625" style="146" customWidth="1"/>
    <col min="15875" max="15875" width="54" style="146" customWidth="1"/>
    <col min="15876" max="15876" width="17.21875" style="146" customWidth="1"/>
    <col min="15877" max="16129" width="9.21875" style="146"/>
    <col min="16130" max="16130" width="9.44140625" style="146" customWidth="1"/>
    <col min="16131" max="16131" width="54" style="146" customWidth="1"/>
    <col min="16132" max="16132" width="17.21875" style="146" customWidth="1"/>
    <col min="16133" max="16384" width="9.21875" style="146"/>
  </cols>
  <sheetData>
    <row r="3" spans="2:5" s="145" customFormat="1" ht="20.25" customHeight="1">
      <c r="B3" s="1247" t="s">
        <v>70</v>
      </c>
      <c r="C3" s="1247"/>
      <c r="D3" s="1247"/>
    </row>
    <row r="4" spans="2:5" s="145" customFormat="1" ht="18" customHeight="1" thickBot="1">
      <c r="B4" s="1248"/>
      <c r="C4" s="1248"/>
      <c r="D4" s="1248"/>
    </row>
    <row r="5" spans="2:5" s="1031" customFormat="1" ht="21.75" customHeight="1" thickBot="1">
      <c r="B5" s="1028" t="s">
        <v>4</v>
      </c>
      <c r="C5" s="1029" t="s">
        <v>71</v>
      </c>
      <c r="D5" s="1030" t="s">
        <v>72</v>
      </c>
    </row>
    <row r="6" spans="2:5" s="1031" customFormat="1" ht="15" customHeight="1">
      <c r="B6" s="1032"/>
      <c r="C6" s="1033"/>
      <c r="D6" s="1034"/>
    </row>
    <row r="7" spans="2:5" s="1031" customFormat="1" ht="15.6" customHeight="1">
      <c r="B7" s="1035" t="s">
        <v>248</v>
      </c>
      <c r="C7" s="1033"/>
      <c r="D7" s="1034"/>
    </row>
    <row r="8" spans="2:5" s="1040" customFormat="1" ht="15.6" customHeight="1">
      <c r="B8" s="1036" t="s">
        <v>251</v>
      </c>
      <c r="C8" s="1037" t="str">
        <f>VLOOKUP(B8,'ANALISA UTAMA'!A:J,4,0)</f>
        <v>Pengukuran dan pemasangan 1 m' Bowplank</v>
      </c>
      <c r="D8" s="1038">
        <f>VLOOKUP(B8,'ANALISA UTAMA'!A:J,10,0)</f>
        <v>110198.75</v>
      </c>
      <c r="E8" s="1039" t="e">
        <f>VLOOKUP(B8,RAB!J:M,3,0)</f>
        <v>#N/A</v>
      </c>
    </row>
    <row r="9" spans="2:5" s="1040" customFormat="1" ht="15.6" customHeight="1">
      <c r="B9" s="1036"/>
      <c r="C9" s="1037"/>
      <c r="D9" s="1038"/>
      <c r="E9" s="1039" t="e">
        <f>VLOOKUP(B9,RAB!J:M,3,0)</f>
        <v>#N/A</v>
      </c>
    </row>
    <row r="10" spans="2:5" s="1031" customFormat="1" ht="15.6" customHeight="1">
      <c r="B10" s="1035" t="s">
        <v>65</v>
      </c>
      <c r="C10" s="1033"/>
      <c r="D10" s="1034"/>
      <c r="E10" s="1039" t="e">
        <f>VLOOKUP(B10,RAB!J:M,3,0)</f>
        <v>#N/A</v>
      </c>
    </row>
    <row r="11" spans="2:5" s="1040" customFormat="1" ht="15.6" customHeight="1">
      <c r="B11" s="1036" t="s">
        <v>83</v>
      </c>
      <c r="C11" s="1037" t="str">
        <f>VLOOKUP(B11,'ANALISA UTAMA'!A:J,4,0)</f>
        <v>Penggalian 1 m3  tanah biasa sedalam 1 m</v>
      </c>
      <c r="D11" s="1038">
        <f>VLOOKUP(B11,'ANALISA UTAMA'!A:J,10,0)</f>
        <v>109968.75</v>
      </c>
      <c r="E11" s="1039">
        <f>VLOOKUP(B11,RAB!J:M,3,0)</f>
        <v>109968.75</v>
      </c>
    </row>
    <row r="12" spans="2:5" s="1040" customFormat="1" ht="15.6" customHeight="1">
      <c r="B12" s="1036" t="s">
        <v>84</v>
      </c>
      <c r="C12" s="1037" t="str">
        <f>VLOOKUP(B12,'ANALISA UTAMA'!A:J,4,0)</f>
        <v>Pengurugan kembali 1 m3 galian tanah</v>
      </c>
      <c r="D12" s="1038">
        <f>VLOOKUP(B12,'ANALISA UTAMA'!A:J,10,0)</f>
        <v>81937.5</v>
      </c>
      <c r="E12" s="1039" t="e">
        <f>VLOOKUP(B12,RAB!J:M,3,0)</f>
        <v>#N/A</v>
      </c>
    </row>
    <row r="13" spans="2:5" s="1040" customFormat="1" ht="15.6" customHeight="1">
      <c r="B13" s="1036" t="s">
        <v>210</v>
      </c>
      <c r="C13" s="1037" t="str">
        <f>VLOOKUP(B13,'ANALISA UTAMA'!A:J,4,0)</f>
        <v>Pengurugan 1 m3 dengan Tanah urug</v>
      </c>
      <c r="D13" s="1038">
        <f>VLOOKUP(B13,'ANALISA UTAMA'!A:J,10,0)</f>
        <v>209587.5</v>
      </c>
      <c r="E13" s="1039">
        <f>VLOOKUP(B13,RAB!J:M,3,0)</f>
        <v>209587.5</v>
      </c>
    </row>
    <row r="14" spans="2:5" s="1040" customFormat="1" ht="15.6" customHeight="1">
      <c r="B14" s="1036" t="s">
        <v>85</v>
      </c>
      <c r="C14" s="1037" t="str">
        <f>VLOOKUP(B14,'ANALISA UTAMA'!A:J,4,0)</f>
        <v>Pengurugan 1 m3 dengan pasir urug</v>
      </c>
      <c r="D14" s="1038">
        <f>VLOOKUP(B14,'ANALISA UTAMA'!A:J,10,0)</f>
        <v>209587.5</v>
      </c>
      <c r="E14" s="1039">
        <f>VLOOKUP(B14,RAB!J:M,3,0)</f>
        <v>209587.5</v>
      </c>
    </row>
    <row r="15" spans="2:5" s="1040" customFormat="1" ht="15.6" customHeight="1">
      <c r="B15" s="1036" t="s">
        <v>656</v>
      </c>
      <c r="C15" s="1037" t="str">
        <f>'ANL HITUNG'!D6</f>
        <v>Bongkaran Paving Lama</v>
      </c>
      <c r="D15" s="1038">
        <f>'ANL HITUNG'!J6</f>
        <v>10428</v>
      </c>
      <c r="E15" s="1039">
        <f>VLOOKUP(B15,RAB!J:M,3,0)</f>
        <v>10000</v>
      </c>
    </row>
    <row r="16" spans="2:5" s="1040" customFormat="1" ht="15.6" customHeight="1">
      <c r="B16" s="1036"/>
      <c r="C16" s="1037"/>
      <c r="D16" s="1038"/>
      <c r="E16" s="1039" t="e">
        <f>VLOOKUP(B16,RAB!J:M,3,0)</f>
        <v>#N/A</v>
      </c>
    </row>
    <row r="17" spans="2:5" s="1031" customFormat="1" ht="15.6" customHeight="1">
      <c r="B17" s="1035" t="s">
        <v>56</v>
      </c>
      <c r="C17" s="1033"/>
      <c r="D17" s="1034"/>
      <c r="E17" s="1039" t="e">
        <f>VLOOKUP(B17,RAB!J:M,3,0)</f>
        <v>#N/A</v>
      </c>
    </row>
    <row r="18" spans="2:5" s="1040" customFormat="1" ht="15.6" customHeight="1">
      <c r="B18" s="1036" t="s">
        <v>333</v>
      </c>
      <c r="C18" s="1037" t="str">
        <f>VLOOKUP(B18,'ANALISA UTAMA'!A:J,4,0)</f>
        <v>Membuat 1 m3 lantai kerja beton mutu f’c = 7,4 MPa slump (3-6)
cm, w/c = 0,87</v>
      </c>
      <c r="D18" s="1038">
        <f>VLOOKUP(B18,'ANALISA UTAMA'!A:J,10,0)</f>
        <v>1190340.357142857</v>
      </c>
      <c r="E18" s="1039">
        <f>VLOOKUP(B18,RAB!J:M,3,0)</f>
        <v>1190340.357142857</v>
      </c>
    </row>
    <row r="19" spans="2:5" s="1040" customFormat="1" ht="15.6" customHeight="1">
      <c r="B19" s="1036" t="s">
        <v>433</v>
      </c>
      <c r="C19" s="1037" t="str">
        <f>VLOOKUP(B19,'ANALISA UTAMA'!A:J,4,0)</f>
        <v>Membuat 1 m3 beton mutu f’c = 26,4 Mpa (K300)</v>
      </c>
      <c r="D19" s="1038">
        <f>VLOOKUP(B19,'ANALISA UTAMA'!A:J,10,0)</f>
        <v>1603010.7170329669</v>
      </c>
      <c r="E19" s="1039" t="e">
        <f>VLOOKUP(B19,RAB!J:M,3,0)</f>
        <v>#N/A</v>
      </c>
    </row>
    <row r="20" spans="2:5" s="1040" customFormat="1" ht="15.6" customHeight="1">
      <c r="B20" s="1036" t="s">
        <v>435</v>
      </c>
      <c r="C20" s="1037" t="str">
        <f>VLOOKUP(B20,'ANALISA UTAMA'!A:J,4,0)</f>
        <v>Membuat 1 m3 beton mutu f’c = 20,7 Mpa (K250)</v>
      </c>
      <c r="D20" s="1038">
        <f>VLOOKUP(B20,'ANALISA UTAMA'!A:J,10,0)</f>
        <v>1451411.2087912087</v>
      </c>
      <c r="E20" s="1039" t="e">
        <f>VLOOKUP(B20,RAB!J:M,3,0)</f>
        <v>#N/A</v>
      </c>
    </row>
    <row r="21" spans="2:5" s="1040" customFormat="1" ht="15.6" customHeight="1">
      <c r="B21" s="1036" t="s">
        <v>437</v>
      </c>
      <c r="C21" s="1037" t="str">
        <f>VLOOKUP(B21,'ANALISA UTAMA'!A:J,4,0)</f>
        <v>Membuat 1 m3 beton mutu f’c = 19,4 Mpa (K225)</v>
      </c>
      <c r="D21" s="1038">
        <f>VLOOKUP(B21,'ANALISA UTAMA'!A:J,10,0)</f>
        <v>1429920.1098901099</v>
      </c>
      <c r="E21" s="1039">
        <f>VLOOKUP(B21,RAB!J:M,3,0)</f>
        <v>1429920.1098901099</v>
      </c>
    </row>
    <row r="22" spans="2:5" s="1040" customFormat="1" ht="15.6" customHeight="1">
      <c r="B22" s="1036" t="s">
        <v>439</v>
      </c>
      <c r="C22" s="1037" t="str">
        <f>VLOOKUP(B22,'ANALISA UTAMA'!A:J,4,0)</f>
        <v>Membuat 1 m3 beton mutu f’c = 14,5 Mpa (K175)</v>
      </c>
      <c r="D22" s="1038">
        <f>VLOOKUP(B22,'ANALISA UTAMA'!A:J,10,0)</f>
        <v>1342419.010989011</v>
      </c>
      <c r="E22" s="1039">
        <f>VLOOKUP(B22,RAB!J:M,3,0)</f>
        <v>1342419.010989011</v>
      </c>
    </row>
    <row r="23" spans="2:5" s="1040" customFormat="1" ht="15.6" customHeight="1">
      <c r="B23" s="1036" t="s">
        <v>105</v>
      </c>
      <c r="C23" s="1037" t="str">
        <f>VLOOKUP(B23,'ANALISA UTAMA'!A:J,4,0)</f>
        <v xml:space="preserve">Pembesian 1 kg dengan besi polos Pembesian untuk 10 kg dengan besi polos </v>
      </c>
      <c r="D23" s="1038">
        <f>VLOOKUP(B23,'ANALISA UTAMA'!A:J,10,0)</f>
        <v>19744.349999999999</v>
      </c>
      <c r="E23" s="1039">
        <f>VLOOKUP(B23,RAB!J:M,3,0)</f>
        <v>19744.349999999999</v>
      </c>
    </row>
    <row r="24" spans="2:5" s="1040" customFormat="1" ht="15.6" customHeight="1">
      <c r="B24" s="1036" t="s">
        <v>872</v>
      </c>
      <c r="C24" s="1037" t="str">
        <f>VLOOKUP(B24,'ANALISA UTAMA'!A:J,4,0)</f>
        <v>Pemasangan 1 m2 Pembesian dengan jaring kawat baja (wiremesh) M6</v>
      </c>
      <c r="D24" s="1038">
        <f>VLOOKUP(B24,'ANALISA UTAMA'!A:J,10,0)</f>
        <v>65637.046582892421</v>
      </c>
      <c r="E24" s="1039">
        <f>VLOOKUP(B24,RAB!J:M,3,0)</f>
        <v>65637.046582892421</v>
      </c>
    </row>
    <row r="25" spans="2:5" s="1040" customFormat="1" ht="15.6" customHeight="1">
      <c r="B25" s="1036" t="s">
        <v>441</v>
      </c>
      <c r="C25" s="1037" t="str">
        <f>VLOOKUP(B25,'ANALISA UTAMA'!A:J,4,0)</f>
        <v>Pembesian 1 kg dengan jaring kawat baja (wiremesh)</v>
      </c>
      <c r="D25" s="1038">
        <f>VLOOKUP(B25,'ANALISA UTAMA'!A:J,10,0)</f>
        <v>16683.625</v>
      </c>
      <c r="E25" s="1039" t="e">
        <f>VLOOKUP(B25,RAB!J:M,3,0)</f>
        <v>#N/A</v>
      </c>
    </row>
    <row r="26" spans="2:5" s="1040" customFormat="1" ht="15.6" customHeight="1">
      <c r="B26" s="1036" t="s">
        <v>108</v>
      </c>
      <c r="C26" s="1037" t="str">
        <f>VLOOKUP(B26,'ANALISA UTAMA'!A:J,4,0)</f>
        <v>Pemasangan 1 m2 bekisting untuk sloof / kolom praktis</v>
      </c>
      <c r="D26" s="1038">
        <f>VLOOKUP(B26,'ANALISA UTAMA'!A:J,10,0)</f>
        <v>318285.5</v>
      </c>
      <c r="E26" s="1039">
        <f>VLOOKUP(B26,RAB!J:M,3,0)</f>
        <v>318285.5</v>
      </c>
    </row>
    <row r="27" spans="2:5" s="1040" customFormat="1" ht="15.6" customHeight="1">
      <c r="B27" s="1036" t="s">
        <v>178</v>
      </c>
      <c r="C27" s="1037" t="str">
        <f>VLOOKUP(B27,'ANALISA UTAMA'!A:J,4,0)</f>
        <v>Membuat 1 m’ kolom praktis beton bertulang (11 x 11) cm</v>
      </c>
      <c r="D27" s="1038">
        <f>VLOOKUP(B27,'ANALISA UTAMA'!A:J,10,0)</f>
        <v>119594.25</v>
      </c>
      <c r="E27" s="1039">
        <f>VLOOKUP(B27,RAB!J:M,3,0)</f>
        <v>119594.25</v>
      </c>
    </row>
    <row r="28" spans="2:5" s="1040" customFormat="1" ht="15.6" customHeight="1">
      <c r="B28" s="1036"/>
      <c r="C28" s="1037"/>
      <c r="D28" s="1038"/>
      <c r="E28" s="1039" t="e">
        <f>VLOOKUP(B28,RAB!J:M,3,0)</f>
        <v>#N/A</v>
      </c>
    </row>
    <row r="29" spans="2:5" s="1031" customFormat="1" ht="15.6" customHeight="1">
      <c r="B29" s="1035" t="s">
        <v>180</v>
      </c>
      <c r="C29" s="1033"/>
      <c r="D29" s="1034"/>
      <c r="E29" s="1039" t="e">
        <f>VLOOKUP(B29,RAB!J:M,3,0)</f>
        <v>#N/A</v>
      </c>
    </row>
    <row r="30" spans="2:5" s="1040" customFormat="1" ht="15.6" customHeight="1">
      <c r="B30" s="1036" t="s">
        <v>431</v>
      </c>
      <c r="C30" s="1037" t="str">
        <f>VLOOKUP(B30,'ANALISA UTAMA'!A:J,4,0)</f>
        <v>Pemasangan 1 m2 Paving block Tebal = 6cm</v>
      </c>
      <c r="D30" s="1038">
        <f>VLOOKUP(B30,'ANALISA UTAMA'!A:J,10,0)</f>
        <v>163185</v>
      </c>
      <c r="E30" s="1039" t="e">
        <f>VLOOKUP(B30,RAB!J:M,3,0)</f>
        <v>#N/A</v>
      </c>
    </row>
    <row r="31" spans="2:5" s="1040" customFormat="1" ht="15.6" customHeight="1">
      <c r="B31" s="1036" t="s">
        <v>206</v>
      </c>
      <c r="C31" s="1037" t="str">
        <f>VLOOKUP(B31,'ANALISA UTAMA'!A:J,4,0)</f>
        <v>Pemasangan 1 m2 dinding bata merah (5x11x22) cm tebal ½ batu
campuran 1SP :4PP</v>
      </c>
      <c r="D31" s="1038">
        <f>VLOOKUP(B31,'ANALISA UTAMA'!A:J,10,0)</f>
        <v>143836.25</v>
      </c>
      <c r="E31" s="1039">
        <f>VLOOKUP(B31,RAB!J:M,3,0)</f>
        <v>143836.25</v>
      </c>
    </row>
    <row r="32" spans="2:5" s="1040" customFormat="1" ht="15.6" customHeight="1">
      <c r="B32" s="1036" t="s">
        <v>112</v>
      </c>
      <c r="C32" s="1037" t="str">
        <f>VLOOKUP(B32,'ANALISA UTAMA'!A:J,4,0)</f>
        <v>Pemasangan 1 m2 plesteran 1SP : 4PP tebal 15 mm</v>
      </c>
      <c r="D32" s="1038">
        <f>VLOOKUP(B32,'ANALISA UTAMA'!A:J,10,0)</f>
        <v>92152.95</v>
      </c>
      <c r="E32" s="1039">
        <f>VLOOKUP(B32,RAB!J:M,3,0)</f>
        <v>92152.95</v>
      </c>
    </row>
    <row r="33" spans="2:5" s="1040" customFormat="1" ht="15.6" customHeight="1">
      <c r="B33" s="1036" t="s">
        <v>113</v>
      </c>
      <c r="C33" s="1037" t="str">
        <f>VLOOKUP(B33,'ANALISA UTAMA'!A:J,4,0)</f>
        <v>Pemasangan 1 m2 acian.</v>
      </c>
      <c r="D33" s="1038">
        <f>VLOOKUP(B33,'ANALISA UTAMA'!A:J,10,0)</f>
        <v>56896.25</v>
      </c>
      <c r="E33" s="1039">
        <f>VLOOKUP(B33,RAB!J:M,3,0)</f>
        <v>56896.25</v>
      </c>
    </row>
    <row r="34" spans="2:5" s="1040" customFormat="1" ht="15.6" customHeight="1" collapsed="1">
      <c r="B34" s="1036"/>
      <c r="C34" s="1037"/>
      <c r="D34" s="1038"/>
      <c r="E34" s="1039" t="e">
        <f>VLOOKUP(B34,RAB!J:M,3,0)</f>
        <v>#N/A</v>
      </c>
    </row>
    <row r="35" spans="2:5" s="1031" customFormat="1" ht="15.6" customHeight="1">
      <c r="B35" s="1035" t="s">
        <v>222</v>
      </c>
      <c r="C35" s="1033"/>
      <c r="D35" s="1034"/>
      <c r="E35" s="1039" t="e">
        <f>VLOOKUP(B35,RAB!J:M,3,0)</f>
        <v>#N/A</v>
      </c>
    </row>
    <row r="36" spans="2:5" s="1040" customFormat="1" ht="15.6" customHeight="1">
      <c r="B36" s="1036" t="s">
        <v>216</v>
      </c>
      <c r="C36" s="1037" t="str">
        <f>VLOOKUP(B36,'ANALISA UTAMA'!A:J,4,0)</f>
        <v>Pembuatan dan pemasangan 1 m3 kusen pintu dan kusen jendela, kayu kelas I</v>
      </c>
      <c r="D36" s="1038">
        <f>VLOOKUP(B36,'ANALISA UTAMA'!A:J,10,0)</f>
        <v>16773612.5</v>
      </c>
      <c r="E36" s="1039" t="e">
        <f>VLOOKUP(B36,RAB!J:M,3,0)</f>
        <v>#N/A</v>
      </c>
    </row>
    <row r="37" spans="2:5" s="1040" customFormat="1" ht="15.6" customHeight="1">
      <c r="B37" s="1036" t="s">
        <v>220</v>
      </c>
      <c r="C37" s="1037" t="str">
        <f>VLOOKUP(B37,'ANALISA UTAMA'!A:J,4,0)</f>
        <v>Pembuatan dan pemasangan 1 m2 daun pintu panel, kayu kelas I atau II</v>
      </c>
      <c r="D37" s="1038">
        <f>VLOOKUP(B37,'ANALISA UTAMA'!A:J,10,0)</f>
        <v>1051962.5</v>
      </c>
      <c r="E37" s="1039" t="e">
        <f>VLOOKUP(B37,RAB!J:M,3,0)</f>
        <v>#N/A</v>
      </c>
    </row>
    <row r="38" spans="2:5" s="1040" customFormat="1" ht="15.6" customHeight="1">
      <c r="B38" s="1036" t="s">
        <v>223</v>
      </c>
      <c r="C38" s="1037" t="str">
        <f>VLOOKUP(B38,'ANALISA UTAMA'!A:J,4,0)</f>
        <v>Pembuatan dan pemasangan 1 m2 pintu dan jendela kaca, kayu kelas I atau II</v>
      </c>
      <c r="D38" s="1038">
        <f>VLOOKUP(B38,'ANALISA UTAMA'!A:J,10,0)</f>
        <v>935295</v>
      </c>
      <c r="E38" s="1039" t="e">
        <f>VLOOKUP(B38,RAB!J:M,3,0)</f>
        <v>#N/A</v>
      </c>
    </row>
    <row r="39" spans="2:5" s="1040" customFormat="1" ht="15.6" customHeight="1">
      <c r="B39" s="1036" t="s">
        <v>253</v>
      </c>
      <c r="C39" s="1037" t="str">
        <f>VLOOKUP(B39,'ANALISA UTAMA'!A:J,4,0)</f>
        <v>Memasang 1 bh kunci tanam</v>
      </c>
      <c r="D39" s="1038">
        <f>VLOOKUP(B39,'ANALISA UTAMA'!A:J,10,0)</f>
        <v>305698.75</v>
      </c>
      <c r="E39" s="1039">
        <f>VLOOKUP(B39,RAB!J:M,3,0)</f>
        <v>305698.75</v>
      </c>
    </row>
    <row r="40" spans="2:5" s="1040" customFormat="1" ht="15.6" customHeight="1">
      <c r="B40" s="1036" t="s">
        <v>256</v>
      </c>
      <c r="C40" s="1037" t="str">
        <f>VLOOKUP(B40,'ANALISA UTAMA'!A:J,4,0)</f>
        <v>Memasang 1 bh engsel pintu 4"</v>
      </c>
      <c r="D40" s="1038">
        <f>VLOOKUP(B40,'ANALISA UTAMA'!A:J,10,0)</f>
        <v>94889.375</v>
      </c>
      <c r="E40" s="1039" t="e">
        <f>VLOOKUP(B40,RAB!J:M,3,0)</f>
        <v>#N/A</v>
      </c>
    </row>
    <row r="41" spans="2:5" s="1040" customFormat="1" ht="15.6" customHeight="1">
      <c r="B41" s="1036" t="s">
        <v>259</v>
      </c>
      <c r="C41" s="1037" t="str">
        <f>VLOOKUP(B41,'ANALISA UTAMA'!A:J,4,0)</f>
        <v>Memasang 1 bh engsel jendela 3"</v>
      </c>
      <c r="D41" s="1038">
        <f>VLOOKUP(B41,'ANALISA UTAMA'!A:J,10,0)</f>
        <v>83389.375</v>
      </c>
      <c r="E41" s="1039" t="e">
        <f>VLOOKUP(B41,RAB!J:M,3,0)</f>
        <v>#N/A</v>
      </c>
    </row>
    <row r="42" spans="2:5" s="1040" customFormat="1" ht="15.6" customHeight="1">
      <c r="B42" s="1036" t="s">
        <v>856</v>
      </c>
      <c r="C42" s="1037" t="str">
        <f>VLOOKUP(B42,'ANALISA UTAMA'!A:J,4,0)</f>
        <v>Memasang 1 bh engsel jendela Alumunium</v>
      </c>
      <c r="D42" s="1038">
        <f>VLOOKUP(B42,'ANALISA UTAMA'!A:J,10,0)</f>
        <v>112714.375</v>
      </c>
      <c r="E42" s="1039">
        <f>VLOOKUP(B42,RAB!J:M,3,0)</f>
        <v>112714.375</v>
      </c>
    </row>
    <row r="43" spans="2:5" s="1040" customFormat="1" ht="15.6" customHeight="1">
      <c r="B43" s="1036" t="s">
        <v>262</v>
      </c>
      <c r="C43" s="1037" t="str">
        <f>VLOOKUP(B43,'ANALISA UTAMA'!A:J,4,0)</f>
        <v>Memasang 1 bh kait angin jendela</v>
      </c>
      <c r="D43" s="1038">
        <f>VLOOKUP(B43,'ANALISA UTAMA'!A:J,10,0)</f>
        <v>51922.5</v>
      </c>
      <c r="E43" s="1039" t="e">
        <f>VLOOKUP(B43,RAB!J:M,3,0)</f>
        <v>#N/A</v>
      </c>
    </row>
    <row r="44" spans="2:5" s="1040" customFormat="1" ht="15.6" customHeight="1">
      <c r="B44" s="1036" t="s">
        <v>265</v>
      </c>
      <c r="C44" s="1037" t="str">
        <f>VLOOKUP(B44,'ANALISA UTAMA'!A:J,4,0)</f>
        <v>Memasang 1 bh gerendel pintu 4"</v>
      </c>
      <c r="D44" s="1038">
        <f>VLOOKUP(B44,'ANALISA UTAMA'!A:J,10,0)</f>
        <v>72478.75</v>
      </c>
      <c r="E44" s="1039" t="e">
        <f>VLOOKUP(B44,RAB!J:M,3,0)</f>
        <v>#N/A</v>
      </c>
    </row>
    <row r="45" spans="2:5" s="1040" customFormat="1" ht="15.6" customHeight="1">
      <c r="B45" s="1036" t="s">
        <v>268</v>
      </c>
      <c r="C45" s="1037" t="str">
        <f>VLOOKUP(B45,'ANALISA UTAMA'!A:J,4,0)</f>
        <v>Memasang 1 bh gerendel jendela 2"</v>
      </c>
      <c r="D45" s="1038">
        <f>VLOOKUP(B45,'ANALISA UTAMA'!A:J,10,0)</f>
        <v>60978.75</v>
      </c>
      <c r="E45" s="1039" t="e">
        <f>VLOOKUP(B45,RAB!J:M,3,0)</f>
        <v>#N/A</v>
      </c>
    </row>
    <row r="46" spans="2:5" s="1040" customFormat="1" ht="15.6" customHeight="1">
      <c r="B46" s="1036" t="s">
        <v>271</v>
      </c>
      <c r="C46" s="1037" t="str">
        <f>VLOOKUP(B46,'ANALISA UTAMA'!A:J,4,0)</f>
        <v>Memasang 1 bh handle jendela Aluminium (Stay Hinge)</v>
      </c>
      <c r="D46" s="1038">
        <f>VLOOKUP(B46,'ANALISA UTAMA'!A:J,10,0)</f>
        <v>95478.75</v>
      </c>
      <c r="E46" s="1039" t="e">
        <f>VLOOKUP(B46,RAB!J:M,3,0)</f>
        <v>#N/A</v>
      </c>
    </row>
    <row r="47" spans="2:5" s="1040" customFormat="1" ht="15.6" customHeight="1">
      <c r="B47" s="1036" t="s">
        <v>854</v>
      </c>
      <c r="C47" s="1037" t="str">
        <f>VLOOKUP(B47,'ANALISA UTAMA'!A:J,4,0)</f>
        <v>Memasang 1 bh handle Pintu</v>
      </c>
      <c r="D47" s="1038">
        <f>VLOOKUP(B47,'ANALISA UTAMA'!A:J,10,0)</f>
        <v>398618.75</v>
      </c>
      <c r="E47" s="1039">
        <f>VLOOKUP(B47,RAB!J:M,3,0)</f>
        <v>398618.75</v>
      </c>
    </row>
    <row r="48" spans="2:5" s="1040" customFormat="1" ht="15.6" customHeight="1">
      <c r="B48" s="1036" t="s">
        <v>660</v>
      </c>
      <c r="C48" s="1037" t="str">
        <f>VLOOKUP(B48,'ANALISA UTAMA'!A:J,4,0)</f>
        <v>Memasang 1 bh Pintu Aluminium Uk. 70x200 cm</v>
      </c>
      <c r="D48" s="1038">
        <f>VLOOKUP(B48,'ANALISA UTAMA'!A:J,10,0)</f>
        <v>1414068.75</v>
      </c>
      <c r="E48" s="1039">
        <f>VLOOKUP(B48,RAB!J:M,3,0)</f>
        <v>1414068.75</v>
      </c>
    </row>
    <row r="49" spans="2:9" s="1040" customFormat="1" ht="15.6" customHeight="1" collapsed="1">
      <c r="B49" s="1041"/>
      <c r="C49" s="1037"/>
      <c r="D49" s="1038"/>
      <c r="E49" s="1039" t="e">
        <f>VLOOKUP(B49,RAB!J:M,3,0)</f>
        <v>#N/A</v>
      </c>
      <c r="F49" s="1042" t="s">
        <v>856</v>
      </c>
    </row>
    <row r="50" spans="2:9" s="1031" customFormat="1" ht="15.6" customHeight="1">
      <c r="B50" s="1035" t="s">
        <v>58</v>
      </c>
      <c r="C50" s="1033"/>
      <c r="D50" s="1034"/>
      <c r="E50" s="1039" t="e">
        <f>VLOOKUP(B50,RAB!J:M,3,0)</f>
        <v>#N/A</v>
      </c>
      <c r="F50" s="1042" t="s">
        <v>854</v>
      </c>
    </row>
    <row r="51" spans="2:9" s="1040" customFormat="1" ht="15.6" customHeight="1">
      <c r="B51" s="1036" t="s">
        <v>618</v>
      </c>
      <c r="C51" s="1037" t="str">
        <f>VLOOKUP(B51,'ANALISA UTAMA'!A:J,4,0)</f>
        <v>Pemasangan 1m2 lantai granite ukuran 60cm x 60cm</v>
      </c>
      <c r="D51" s="1038">
        <f>VLOOKUP(B51,'ANALISA UTAMA'!A:J,10,0)</f>
        <v>513423.25</v>
      </c>
      <c r="E51" s="1039">
        <f>VLOOKUP(B51,RAB!J:M,3,0)</f>
        <v>513423.25</v>
      </c>
    </row>
    <row r="52" spans="2:9" s="1040" customFormat="1" ht="15.6" customHeight="1">
      <c r="B52" s="1036" t="s">
        <v>860</v>
      </c>
      <c r="C52" s="1037" t="str">
        <f>VLOOKUP(B52,'ANALISA UTAMA'!A:J,4,0)</f>
        <v>Pemasangan 1m2 Dinding granite ukuran 60cm x 60cm</v>
      </c>
      <c r="D52" s="1038">
        <f>VLOOKUP(B52,'ANALISA UTAMA'!A:J,10,0)</f>
        <v>563965.75</v>
      </c>
      <c r="E52" s="1039">
        <f>VLOOKUP(B52,RAB!J:M,3,0)</f>
        <v>563965.75</v>
      </c>
    </row>
    <row r="53" spans="2:9" s="1040" customFormat="1" ht="15.6" customHeight="1">
      <c r="B53" s="1036" t="s">
        <v>689</v>
      </c>
      <c r="C53" s="1037" t="str">
        <f>VLOOKUP(B53,'ANALISA UTAMA'!A:J,4,0)</f>
        <v>Pemasangan 1m2 lantai keramik ukuran 40cm x 40cm</v>
      </c>
      <c r="D53" s="1038">
        <f>VLOOKUP(B53,'ANALISA UTAMA'!A:J,10,0)</f>
        <v>309005</v>
      </c>
      <c r="E53" s="1039">
        <f>VLOOKUP(B53,RAB!J:M,3,0)</f>
        <v>309005</v>
      </c>
    </row>
    <row r="54" spans="2:9" s="1040" customFormat="1" ht="15.6" customHeight="1">
      <c r="B54" s="1036" t="s">
        <v>688</v>
      </c>
      <c r="C54" s="1037" t="str">
        <f>VLOOKUP(B54,'ANALISA UTAMA'!A:J,4,0)</f>
        <v>Pemasangan 1 m2 dinding keramik uk 20 cm x 40 cm</v>
      </c>
      <c r="D54" s="1038">
        <f>VLOOKUP(B54,'ANALISA UTAMA'!A:J,10,0)</f>
        <v>371622.5</v>
      </c>
      <c r="E54" s="1039">
        <f>VLOOKUP(B54,RAB!J:M,3,0)</f>
        <v>371622.5</v>
      </c>
    </row>
    <row r="55" spans="2:9" s="1040" customFormat="1" ht="15.6" customHeight="1">
      <c r="B55" s="1036" t="s">
        <v>594</v>
      </c>
      <c r="C55" s="1037" t="str">
        <f>VLOOKUP(B55,'ANALISA UTAMA'!A:J,4,0)</f>
        <v>Pemasangan 1 m2 Paving Block (Blok Beton) Natural tebal 6cm</v>
      </c>
      <c r="D55" s="1038">
        <f>VLOOKUP(B55,'ANALISA UTAMA'!A:J,10,0)</f>
        <v>249383.25</v>
      </c>
      <c r="E55" s="1039">
        <f>VLOOKUP(B55,RAB!J:M,3,0)</f>
        <v>249383.25</v>
      </c>
    </row>
    <row r="56" spans="2:9" s="1040" customFormat="1" ht="15.6" customHeight="1">
      <c r="B56" s="1036" t="s">
        <v>715</v>
      </c>
      <c r="C56" s="1037" t="str">
        <f>VLOOKUP(B56,'ANALISA UTAMA'!A:J,4,0)</f>
        <v>Bongkar Pasang 1 m2 Paving Block Lama</v>
      </c>
      <c r="D56" s="1038">
        <f>VLOOKUP(B56,'ANALISA UTAMA'!A:J,10,0)</f>
        <v>145236.375</v>
      </c>
      <c r="E56" s="1039">
        <f>VLOOKUP(B56,RAB!J:M,3,0)</f>
        <v>145236.375</v>
      </c>
    </row>
    <row r="57" spans="2:9" s="1040" customFormat="1" ht="15.6" customHeight="1">
      <c r="B57" s="1036" t="str">
        <f>'ANALISA UTAMA'!$B$860</f>
        <v>Hit.Aci.Scrd.</v>
      </c>
      <c r="C57" s="1037" t="str">
        <f>VLOOKUP(B57,'ANALISA UTAMA'!A:J,4,0)</f>
        <v>Pemasangan 1 m2 Acian /Screed Perbaikan Permukaan Beton</v>
      </c>
      <c r="D57" s="1038">
        <f>VLOOKUP(B57,'ANALISA UTAMA'!A:J,10,0)</f>
        <v>83317.5</v>
      </c>
      <c r="E57" s="1039">
        <f>VLOOKUP(B57,RAB!J:M,3,0)</f>
        <v>83317.5</v>
      </c>
    </row>
    <row r="58" spans="2:9" s="1040" customFormat="1" ht="15.6" customHeight="1">
      <c r="B58" s="1036" t="s">
        <v>621</v>
      </c>
      <c r="C58" s="1037" t="str">
        <f>VLOOKUP(B58,'ANALISA UTAMA'!A:J,4,0)</f>
        <v>Pemasangan 1 m2 waterproofing onducoat PA 
campuran 1SP :4PP</v>
      </c>
      <c r="D58" s="1038">
        <f>VLOOKUP(B58,'ANALISA UTAMA'!A:J,10,0)</f>
        <v>172097.5</v>
      </c>
      <c r="E58" s="1039">
        <f>VLOOKUP(B58,RAB!J:M,3,0)</f>
        <v>172097.5</v>
      </c>
    </row>
    <row r="59" spans="2:9" s="1040" customFormat="1" ht="15.6" customHeight="1" collapsed="1">
      <c r="B59" s="1036"/>
      <c r="C59" s="1037"/>
      <c r="D59" s="1038"/>
      <c r="E59" s="1039" t="e">
        <f>VLOOKUP(B59,RAB!J:M,3,0)</f>
        <v>#N/A</v>
      </c>
    </row>
    <row r="60" spans="2:9" s="1031" customFormat="1" ht="15.6" customHeight="1">
      <c r="B60" s="1035" t="s">
        <v>67</v>
      </c>
      <c r="C60" s="1033"/>
      <c r="D60" s="1034"/>
      <c r="E60" s="1039" t="e">
        <f>VLOOKUP(B60,RAB!J:M,3,0)</f>
        <v>#N/A</v>
      </c>
    </row>
    <row r="61" spans="2:9" s="1040" customFormat="1" ht="15.6" customHeight="1">
      <c r="B61" s="1036" t="s">
        <v>278</v>
      </c>
      <c r="C61" s="1037" t="str">
        <f>VLOOKUP(B61,'ANALISA UTAMA'!A:J,4,0)</f>
        <v xml:space="preserve">Pemasangan 1 m2 langit-langit Pvc t 8mm </v>
      </c>
      <c r="D61" s="1038">
        <f>VLOOKUP(B61,'ANALISA UTAMA'!A:J,10,0)</f>
        <v>153475</v>
      </c>
      <c r="E61" s="1039">
        <f>VLOOKUP(B61,RAB!J:M,3,0)</f>
        <v>153475</v>
      </c>
    </row>
    <row r="62" spans="2:9" s="1040" customFormat="1" ht="15.6" customHeight="1">
      <c r="B62" s="1036" t="s">
        <v>280</v>
      </c>
      <c r="C62" s="1037" t="str">
        <f>VLOOKUP(B62,'ANALISA UTAMA'!A:J,4,0)</f>
        <v xml:space="preserve">Pemasangan 1 m' List plafond PVC </v>
      </c>
      <c r="D62" s="1038">
        <f>VLOOKUP(B62,'ANALISA UTAMA'!A:J,10,0)</f>
        <v>44020.75</v>
      </c>
      <c r="E62" s="1039">
        <f>VLOOKUP(B62,RAB!J:M,3,0)</f>
        <v>44020.75</v>
      </c>
      <c r="I62" s="1040" t="s">
        <v>596</v>
      </c>
    </row>
    <row r="63" spans="2:9" s="1040" customFormat="1" ht="15.6" customHeight="1">
      <c r="B63" s="1036" t="s">
        <v>115</v>
      </c>
      <c r="C63" s="1037" t="str">
        <f>VLOOKUP(B63,'ANALISA UTAMA'!A:J,4,0)</f>
        <v>Pemasangan 1 m2 langit-langit gypsum board ukuran (120x240x9) mm, tebal 9 mm</v>
      </c>
      <c r="D63" s="1038">
        <f>VLOOKUP(B63,'ANALISA UTAMA'!A:J,10,0)</f>
        <v>65084.25</v>
      </c>
      <c r="E63" s="1039">
        <f>VLOOKUP(B63,RAB!J:M,3,0)</f>
        <v>65084.25</v>
      </c>
    </row>
    <row r="64" spans="2:9" s="1040" customFormat="1" ht="15.6" customHeight="1">
      <c r="B64" s="1036" t="s">
        <v>118</v>
      </c>
      <c r="C64" s="1037" t="str">
        <f>VLOOKUP(B64,'ANALISA UTAMA'!A:J,4,0)</f>
        <v>Pemasangan 1 m' List Profil Gypsum 4"</v>
      </c>
      <c r="D64" s="1038">
        <f>VLOOKUP(B64,'ANALISA UTAMA'!A:J,10,0)</f>
        <v>38507.75</v>
      </c>
      <c r="E64" s="1039">
        <f>VLOOKUP(B64,RAB!J:M,3,0)</f>
        <v>38507.75</v>
      </c>
    </row>
    <row r="65" spans="2:5" s="1040" customFormat="1" ht="15.6" customHeight="1" collapsed="1">
      <c r="B65" s="1036"/>
      <c r="C65" s="1037"/>
      <c r="D65" s="1038"/>
      <c r="E65" s="1039" t="e">
        <f>VLOOKUP(B65,RAB!J:M,3,0)</f>
        <v>#N/A</v>
      </c>
    </row>
    <row r="66" spans="2:5" s="1031" customFormat="1" ht="15.6" customHeight="1">
      <c r="B66" s="1035" t="s">
        <v>59</v>
      </c>
      <c r="C66" s="1033"/>
      <c r="D66" s="1034"/>
      <c r="E66" s="1039" t="e">
        <f>VLOOKUP(B66,RAB!J:M,3,0)</f>
        <v>#N/A</v>
      </c>
    </row>
    <row r="67" spans="2:5" s="1040" customFormat="1" ht="15.6" customHeight="1">
      <c r="B67" s="1036" t="s">
        <v>139</v>
      </c>
      <c r="C67" s="1037" t="str">
        <f>VLOOKUP(B67,'ANALISA UTAMA'!A:J,4,0)</f>
        <v>Pengecatan 1 m2 tembok baru (1 lapis plamuur, 1 lapis cat dasar, 2
lapis cat penutup)</v>
      </c>
      <c r="D67" s="1038">
        <f>VLOOKUP(B67,'ANALISA UTAMA'!A:J,10,0)</f>
        <v>55114.9</v>
      </c>
      <c r="E67" s="1039">
        <f>VLOOKUP(B67,RAB!J:M,3,0)</f>
        <v>55114.9</v>
      </c>
    </row>
    <row r="68" spans="2:5" s="1040" customFormat="1" ht="15.6" customHeight="1">
      <c r="B68" s="1036" t="s">
        <v>611</v>
      </c>
      <c r="C68" s="1037" t="str">
        <f>VLOOKUP(B68,'ANALISA UTAMA'!A:J,4,0)</f>
        <v>Pengecatan 1 m2 Tembok Lama (1 Lapis Cat Dasar, 2 Lapis Cat 
Penutup) 
lapis cat penutup)</v>
      </c>
      <c r="D68" s="1038">
        <f>VLOOKUP(B68,'ANALISA UTAMA'!A:J,10,0)</f>
        <v>43204.35</v>
      </c>
      <c r="E68" s="1039">
        <f>VLOOKUP(B68,RAB!J:M,3,0)</f>
        <v>43204.35</v>
      </c>
    </row>
    <row r="69" spans="2:5" s="1040" customFormat="1" ht="15.6" customHeight="1">
      <c r="B69" s="1036" t="s">
        <v>926</v>
      </c>
      <c r="C69" s="1037" t="str">
        <f>VLOOKUP(B69,'ANALISA UTAMA'!A:J,4,0)</f>
        <v>Pengecatan 1 m2 bidang kayu baru (1 lapis plamuur, 1 lapis cat dasar, 2 lapis cat penutup)</v>
      </c>
      <c r="D69" s="1038">
        <f>VLOOKUP(B69,'ANALISA UTAMA'!A:J,10,0)</f>
        <v>86347.75</v>
      </c>
      <c r="E69" s="1039" t="e">
        <f>VLOOKUP(B69,RAB!J:M,3,0)</f>
        <v>#N/A</v>
      </c>
    </row>
    <row r="70" spans="2:5" s="1040" customFormat="1" ht="15.6" customHeight="1">
      <c r="B70" s="1036" t="s">
        <v>624</v>
      </c>
      <c r="C70" s="1037" t="str">
        <f>VLOOKUP(B70,'ANALISA UTAMA'!A:J,4,0)</f>
        <v>Pengecatan 1 m2 Permukaan Baja Galvanis secara Semprot sistem 3 
lapis Cat Terakhir</v>
      </c>
      <c r="D70" s="1038">
        <f>VLOOKUP(B70,'ANALISA UTAMA'!A:J,10,0)</f>
        <v>228907.5</v>
      </c>
      <c r="E70" s="1039" t="e">
        <f>VLOOKUP(B70,RAB!J:M,3,0)</f>
        <v>#N/A</v>
      </c>
    </row>
    <row r="71" spans="2:5" s="1040" customFormat="1" ht="15.6" customHeight="1">
      <c r="B71" s="1036" t="s">
        <v>626</v>
      </c>
      <c r="C71" s="1037" t="str">
        <f>VLOOKUP(B71,'ANALISA UTAMA'!A:J,4,0)</f>
        <v>Pengecatan 1 m2 Permukaan Baja Galvanis secara Manual sistem 1 
Lapis Cat Penutup
 lapis Cat Terakhir</v>
      </c>
      <c r="D71" s="1038">
        <f>VLOOKUP(B71,'ANALISA UTAMA'!A:J,10,0)</f>
        <v>64359.75</v>
      </c>
      <c r="E71" s="1039" t="e">
        <f>VLOOKUP(B71,RAB!J:M,3,0)</f>
        <v>#N/A</v>
      </c>
    </row>
    <row r="72" spans="2:5" s="1040" customFormat="1" ht="15.6" customHeight="1">
      <c r="B72" s="1036" t="str">
        <f>'ANALISA UTAMA'!$B$1153</f>
        <v>Hit.Epoxy.01</v>
      </c>
      <c r="C72" s="1037" t="str">
        <f>VLOOKUP(B72,'ANALISA UTAMA'!A:J,4,0)</f>
        <v>Pengecatan 1 m2 permukaan lantai dengan Epoxy 500 micron</v>
      </c>
      <c r="D72" s="1038">
        <f>VLOOKUP(B72,'ANALISA UTAMA'!A:J,10,0)</f>
        <v>326007.75</v>
      </c>
      <c r="E72" s="1039">
        <f>VLOOKUP(B72,RAB!J:M,3,0)</f>
        <v>326007.75</v>
      </c>
    </row>
    <row r="73" spans="2:5" s="1040" customFormat="1" ht="15.6" customHeight="1">
      <c r="B73" s="1036" t="str">
        <f>'ANALISA UTAMA'!$B$1176</f>
        <v>Hit.Epoxy.02</v>
      </c>
      <c r="C73" s="1037" t="str">
        <f>VLOOKUP(B73,'ANALISA UTAMA'!A:J,4,0)</f>
        <v>Pengecatan 1 m2 permukaan lantai dengan Epoxy 1000 micron</v>
      </c>
      <c r="D73" s="1038">
        <f>VLOOKUP(B73,'ANALISA UTAMA'!A:J,10,0)</f>
        <v>652015.5</v>
      </c>
      <c r="E73" s="1039">
        <f>VLOOKUP(B73,RAB!J:M,3,0)</f>
        <v>652015.5</v>
      </c>
    </row>
    <row r="74" spans="2:5" s="1040" customFormat="1" ht="15.6" customHeight="1">
      <c r="B74" s="1036" t="s">
        <v>249</v>
      </c>
      <c r="C74" s="1037" t="str">
        <f>VLOOKUP(B74,'ANALISA UTAMA'!A:J,4,0)</f>
        <v>5 set Peralatan K3 standar pekerja bangunan</v>
      </c>
      <c r="D74" s="1038">
        <f>VLOOKUP(B74,'ANALISA UTAMA'!A:J,10,0)</f>
        <v>1362750</v>
      </c>
      <c r="E74" s="1039" t="e">
        <f>VLOOKUP(B74,RAB!J:M,3,0)</f>
        <v>#N/A</v>
      </c>
    </row>
    <row r="75" spans="2:5" s="1040" customFormat="1" ht="15.6" customHeight="1" collapsed="1">
      <c r="B75" s="1036"/>
      <c r="C75" s="1037"/>
      <c r="D75" s="1038"/>
      <c r="E75" s="1039" t="e">
        <f>VLOOKUP(B75,RAB!J:M,3,0)</f>
        <v>#N/A</v>
      </c>
    </row>
    <row r="76" spans="2:5" s="1031" customFormat="1" ht="15.6" customHeight="1">
      <c r="B76" s="1035" t="s">
        <v>289</v>
      </c>
      <c r="C76" s="1033"/>
      <c r="D76" s="1034"/>
      <c r="E76" s="1039" t="e">
        <f>VLOOKUP(B76,RAB!J:M,3,0)</f>
        <v>#N/A</v>
      </c>
    </row>
    <row r="77" spans="2:5" s="1040" customFormat="1" ht="15.6" customHeight="1" outlineLevel="1">
      <c r="B77" s="1036" t="s">
        <v>290</v>
      </c>
      <c r="C77" s="1037" t="str">
        <f>VLOOKUP(B77,'ANALISA UTAMA'!A:J,4,0)</f>
        <v>Pasang 1 Titik Instalasi Penerangan dan Stop Kontak dengan Kabel NYA 2x2,5 mm</v>
      </c>
      <c r="D77" s="1038">
        <f>VLOOKUP(B77,'ANALISA UTAMA'!A:J,10,0)</f>
        <v>232084.375</v>
      </c>
      <c r="E77" s="1039">
        <f>VLOOKUP(B77,RAB!J:M,3,0)</f>
        <v>232084.375</v>
      </c>
    </row>
    <row r="78" spans="2:5" s="1040" customFormat="1" ht="15.6" customHeight="1" outlineLevel="1">
      <c r="B78" s="1036" t="s">
        <v>295</v>
      </c>
      <c r="C78" s="1037" t="str">
        <f>VLOOKUP(B78,'ANALISA UTAMA'!A:J,4,0)</f>
        <v>Pasang 1 Set Stop Kontak</v>
      </c>
      <c r="D78" s="1038">
        <f>VLOOKUP(B78,'ANALISA UTAMA'!A:J,10,0)</f>
        <v>94213.75</v>
      </c>
      <c r="E78" s="1039">
        <f>VLOOKUP(B78,RAB!J:M,3,0)</f>
        <v>94213.75</v>
      </c>
    </row>
    <row r="79" spans="2:5" s="1040" customFormat="1" ht="15.6" customHeight="1" outlineLevel="1">
      <c r="B79" s="1036" t="s">
        <v>299</v>
      </c>
      <c r="C79" s="1037" t="str">
        <f>VLOOKUP(B79,'ANALISA UTAMA'!A:J,4,0)</f>
        <v>Pasang 1 Set Saklar Tunggal</v>
      </c>
      <c r="D79" s="1038">
        <f>VLOOKUP(B79,'ANALISA UTAMA'!A:J,10,0)</f>
        <v>88463.75</v>
      </c>
      <c r="E79" s="1039">
        <f>VLOOKUP(B79,RAB!J:M,3,0)</f>
        <v>88463.75</v>
      </c>
    </row>
    <row r="80" spans="2:5" s="1040" customFormat="1" ht="15.6" customHeight="1" outlineLevel="1">
      <c r="B80" s="1036" t="s">
        <v>302</v>
      </c>
      <c r="C80" s="1037" t="str">
        <f>VLOOKUP(B80,'ANALISA UTAMA'!A:J,4,0)</f>
        <v>Pasang 1 Set Saklar Ganda</v>
      </c>
      <c r="D80" s="1038">
        <f>VLOOKUP(B80,'ANALISA UTAMA'!A:J,10,0)</f>
        <v>105713.75</v>
      </c>
      <c r="E80" s="1039">
        <f>VLOOKUP(B80,RAB!J:M,3,0)</f>
        <v>105713.75</v>
      </c>
    </row>
    <row r="81" spans="2:9" s="1040" customFormat="1" ht="15.6" customHeight="1" outlineLevel="1">
      <c r="B81" s="1036" t="s">
        <v>304</v>
      </c>
      <c r="C81" s="1037" t="str">
        <f>VLOOKUP(B81,'ANALISA UTAMA'!A:J,4,0)</f>
        <v>Pasang 1 Set Lampu Downlight</v>
      </c>
      <c r="D81" s="1038">
        <f>VLOOKUP(B81,'ANALISA UTAMA'!A:J,10,0)</f>
        <v>149413.75</v>
      </c>
      <c r="E81" s="1039" t="e">
        <f>VLOOKUP(B81,RAB!J:M,3,0)</f>
        <v>#N/A</v>
      </c>
    </row>
    <row r="82" spans="2:9" s="1040" customFormat="1" ht="15.6" customHeight="1" outlineLevel="1">
      <c r="B82" s="1036" t="s">
        <v>607</v>
      </c>
      <c r="C82" s="1037" t="str">
        <f>VLOOKUP(B82,'ANALISA UTAMA'!A:J,4,0)</f>
        <v>Pasang 1 Set Armature TKO V  LED 2 x 16 watt</v>
      </c>
      <c r="D82" s="1038">
        <f>VLOOKUP(B82,'ANALISA UTAMA'!A:J,10,0)</f>
        <v>436913.75</v>
      </c>
      <c r="E82" s="1039">
        <f>VLOOKUP(B82,RAB!J:M,3,0)</f>
        <v>436913.75</v>
      </c>
      <c r="G82" s="1043" t="s">
        <v>924</v>
      </c>
    </row>
    <row r="83" spans="2:9" s="1040" customFormat="1" ht="15.6" customHeight="1" outlineLevel="1">
      <c r="B83" s="1036" t="s">
        <v>613</v>
      </c>
      <c r="C83" s="1037" t="str">
        <f>VLOOKUP(B83,'ANALISA UTAMA'!A:J,4,0)</f>
        <v>Pasang 1 buah Lampu LED 7 watt + Fitting Down Light</v>
      </c>
      <c r="D83" s="1038">
        <f>VLOOKUP(B83,'ANALISA UTAMA'!A:J,10,0)</f>
        <v>121813.75</v>
      </c>
      <c r="E83" s="1039">
        <f>VLOOKUP(B83,RAB!J:M,3,0)</f>
        <v>121813.75</v>
      </c>
    </row>
    <row r="84" spans="2:9" s="1040" customFormat="1" ht="15.6" customHeight="1" outlineLevel="1">
      <c r="B84" s="1036" t="s">
        <v>308</v>
      </c>
      <c r="C84" s="1037" t="str">
        <f>VLOOKUP(B84,'ANALISA UTAMA'!A:J,4,0)</f>
        <v>Pasang 1 Unit MCB</v>
      </c>
      <c r="D84" s="1038">
        <f>VLOOKUP(B84,'ANALISA UTAMA'!A:J,10,0)</f>
        <v>748434.375</v>
      </c>
      <c r="E84" s="1039" t="e">
        <f>VLOOKUP(B84,RAB!J:M,3,0)</f>
        <v>#N/A</v>
      </c>
    </row>
    <row r="85" spans="2:9" s="1040" customFormat="1" ht="15.6" customHeight="1" collapsed="1">
      <c r="B85" s="1044"/>
      <c r="C85" s="1037"/>
      <c r="D85" s="1038"/>
      <c r="E85" s="1039" t="e">
        <f>VLOOKUP(B85,RAB!J:M,3,0)</f>
        <v>#N/A</v>
      </c>
    </row>
    <row r="86" spans="2:9" s="1031" customFormat="1" ht="15.6" customHeight="1">
      <c r="B86" s="1035" t="s">
        <v>694</v>
      </c>
      <c r="C86" s="1033"/>
      <c r="D86" s="1034"/>
      <c r="E86" s="1039" t="e">
        <f>VLOOKUP(B86,RAB!J:M,3,0)</f>
        <v>#N/A</v>
      </c>
    </row>
    <row r="87" spans="2:9" s="1040" customFormat="1" ht="15.6" customHeight="1" outlineLevel="1">
      <c r="B87" s="1036" t="s">
        <v>733</v>
      </c>
      <c r="C87" s="1037" t="str">
        <f>VLOOKUP(B87,'ANALISA UTAMA'!A:J,4,0)</f>
        <v>Pemasangan 1 buah closet duduk/monoblock</v>
      </c>
      <c r="D87" s="1038">
        <f>VLOOKUP(B87,'ANALISA UTAMA'!A:J,10,0)</f>
        <v>5594750</v>
      </c>
      <c r="E87" s="1039">
        <f>VLOOKUP(B87,RAB!J:M,3,0)</f>
        <v>5594750</v>
      </c>
      <c r="G87" s="1045" t="s">
        <v>475</v>
      </c>
      <c r="I87" s="1036" t="s">
        <v>733</v>
      </c>
    </row>
    <row r="88" spans="2:9" s="1040" customFormat="1" ht="15.6" customHeight="1" outlineLevel="1">
      <c r="B88" s="1036" t="s">
        <v>736</v>
      </c>
      <c r="C88" s="1037" t="str">
        <f>VLOOKUP(B88,'ANALISA UTAMA'!A:J,4,0)</f>
        <v>Pemasangan 1 buah closet jongkok porslen</v>
      </c>
      <c r="D88" s="1038">
        <f>VLOOKUP(B88,'ANALISA UTAMA'!A:J,10,0)</f>
        <v>1303180</v>
      </c>
      <c r="E88" s="1039" t="e">
        <f>VLOOKUP(B88,RAB!J:M,3,0)</f>
        <v>#N/A</v>
      </c>
      <c r="G88" s="1045" t="s">
        <v>474</v>
      </c>
      <c r="I88" s="1036" t="s">
        <v>739</v>
      </c>
    </row>
    <row r="89" spans="2:9" s="1040" customFormat="1" ht="15.6" customHeight="1" outlineLevel="1">
      <c r="B89" s="1036" t="s">
        <v>739</v>
      </c>
      <c r="C89" s="1037" t="str">
        <f>VLOOKUP(B89,'ANALISA UTAMA'!A:J,4,0)</f>
        <v>Pemasangan 1 buah wastafel</v>
      </c>
      <c r="D89" s="1038">
        <f>VLOOKUP(B89,'ANALISA UTAMA'!A:J,10,0)</f>
        <v>2767705</v>
      </c>
      <c r="E89" s="1039">
        <f>VLOOKUP(B89,RAB!J:M,3,0)</f>
        <v>2767705</v>
      </c>
      <c r="G89" s="1045" t="s">
        <v>470</v>
      </c>
      <c r="I89" s="1036" t="s">
        <v>739</v>
      </c>
    </row>
    <row r="90" spans="2:9" s="1040" customFormat="1" ht="15.6" customHeight="1" outlineLevel="1">
      <c r="B90" s="1036" t="s">
        <v>924</v>
      </c>
      <c r="C90" s="1037" t="str">
        <f>VLOOKUP(B90,'ANALISA UTAMA'!A:J,4,0)</f>
        <v>Pemasangan 1 buah Urinoir</v>
      </c>
      <c r="D90" s="1038">
        <f>VLOOKUP(B90,'ANALISA UTAMA'!A:J,10,0)</f>
        <v>4285705</v>
      </c>
      <c r="E90" s="1039">
        <f>VLOOKUP(B90,RAB!J:M,3,0)</f>
        <v>4285705</v>
      </c>
      <c r="G90" s="1045" t="s">
        <v>470</v>
      </c>
      <c r="I90" s="1036" t="s">
        <v>739</v>
      </c>
    </row>
    <row r="91" spans="2:9" s="1040" customFormat="1" ht="15.6" customHeight="1" outlineLevel="1">
      <c r="B91" s="1036" t="s">
        <v>743</v>
      </c>
      <c r="C91" s="1037" t="str">
        <f>VLOOKUP(B91,'ANALISA UTAMA'!A:J,4,0)</f>
        <v>Pemasangan 1 buah bak cuci piring stainlessteel</v>
      </c>
      <c r="D91" s="1038">
        <f>VLOOKUP(B91,'ANALISA UTAMA'!A:J,10,0)</f>
        <v>2714086.25</v>
      </c>
      <c r="E91" s="1039" t="e">
        <f>VLOOKUP(B91,RAB!J:M,3,0)</f>
        <v>#N/A</v>
      </c>
      <c r="G91" s="1045" t="s">
        <v>471</v>
      </c>
      <c r="I91" s="1036" t="s">
        <v>780</v>
      </c>
    </row>
    <row r="92" spans="2:9" s="1040" customFormat="1" ht="15.6" customHeight="1" outlineLevel="1">
      <c r="B92" s="1036" t="s">
        <v>750</v>
      </c>
      <c r="C92" s="1037" t="str">
        <f>VLOOKUP(B92,'ANALISA UTAMA'!A:J,4,0)</f>
        <v>Pemasangan 1 buah floor drain</v>
      </c>
      <c r="D92" s="1038">
        <f>VLOOKUP(B92,'ANALISA UTAMA'!A:J,10,0)</f>
        <v>161028.75</v>
      </c>
      <c r="E92" s="1039">
        <f>VLOOKUP(B92,RAB!J:M,3,0)</f>
        <v>161028.75</v>
      </c>
      <c r="G92" s="1045" t="s">
        <v>472</v>
      </c>
      <c r="I92" s="1036" t="s">
        <v>771</v>
      </c>
    </row>
    <row r="93" spans="2:9" s="1040" customFormat="1" ht="15.6" customHeight="1" outlineLevel="1">
      <c r="B93" s="1036" t="s">
        <v>845</v>
      </c>
      <c r="C93" s="1037" t="str">
        <f>VLOOKUP(B93,'ANALISA UTAMA'!A:J,4,0)</f>
        <v>Pemasangan 1 buah Push Kran Urinoir</v>
      </c>
      <c r="D93" s="1038">
        <f>VLOOKUP(B93,'ANALISA UTAMA'!A:J,10,0)</f>
        <v>311448.75</v>
      </c>
      <c r="E93" s="1039">
        <f>VLOOKUP(B93,RAB!J:M,3,0)</f>
        <v>311448.75</v>
      </c>
      <c r="G93" s="1045" t="s">
        <v>714</v>
      </c>
      <c r="I93" s="1036" t="s">
        <v>779</v>
      </c>
    </row>
    <row r="94" spans="2:9" s="1040" customFormat="1" ht="15.6" customHeight="1" outlineLevel="1">
      <c r="B94" s="1036" t="s">
        <v>753</v>
      </c>
      <c r="C94" s="1037" t="str">
        <f>VLOOKUP(B94,'ANALISA UTAMA'!A:J,4,0)</f>
        <v>Pemasangan 1 buah kran diameter ½” atau ¾ ”</v>
      </c>
      <c r="D94" s="1038">
        <f>VLOOKUP(B94,'ANALISA UTAMA'!A:J,10,0)</f>
        <v>141881.25</v>
      </c>
      <c r="E94" s="1039">
        <f>VLOOKUP(B94,RAB!J:M,3,0)</f>
        <v>141881.25</v>
      </c>
      <c r="G94" s="1046" t="s">
        <v>416</v>
      </c>
      <c r="I94" s="1036" t="s">
        <v>753</v>
      </c>
    </row>
    <row r="95" spans="2:9" s="1040" customFormat="1" ht="15.6" customHeight="1" outlineLevel="1">
      <c r="B95" s="1036" t="s">
        <v>771</v>
      </c>
      <c r="C95" s="1037" t="str">
        <f>VLOOKUP(B95,'ANALISA UTAMA'!A:J,4,0)</f>
        <v>Pemasangan 1 buah Shower Kran Bidet</v>
      </c>
      <c r="D95" s="1038">
        <f>VLOOKUP(B95,'ANALISA UTAMA'!A:J,10,0)</f>
        <v>268093.75</v>
      </c>
      <c r="E95" s="1039">
        <f>VLOOKUP(B95,RAB!J:M,3,0)</f>
        <v>268093.75</v>
      </c>
    </row>
    <row r="96" spans="2:9" s="1040" customFormat="1" ht="15.6" customHeight="1" outlineLevel="1">
      <c r="B96" s="1036" t="s">
        <v>772</v>
      </c>
      <c r="C96" s="1037" t="str">
        <f>VLOOKUP(B96,'ANALISA UTAMA'!A:J,4,0)</f>
        <v>Pemasangan 1 buah Shower Kran Mandi</v>
      </c>
      <c r="D96" s="1038">
        <f>VLOOKUP(B96,'ANALISA UTAMA'!A:J,10,0)</f>
        <v>900593.75</v>
      </c>
      <c r="E96" s="1039" t="e">
        <f>VLOOKUP(B96,RAB!J:M,3,0)</f>
        <v>#N/A</v>
      </c>
    </row>
    <row r="97" spans="2:7" s="1040" customFormat="1" ht="15.6" customHeight="1" outlineLevel="1">
      <c r="B97" s="1036" t="s">
        <v>779</v>
      </c>
      <c r="C97" s="1037" t="str">
        <f>VLOOKUP(B97,'ANALISA UTAMA'!A:J,4,0)</f>
        <v>Pemasangan 1 buah Stop Kran Ball Valve 1"</v>
      </c>
      <c r="D97" s="1038">
        <f>VLOOKUP(B97,'ANALISA UTAMA'!A:J,10,0)</f>
        <v>383093.75</v>
      </c>
      <c r="E97" s="1039">
        <f>VLOOKUP(B97,RAB!J:M,3,0)</f>
        <v>383093.75</v>
      </c>
    </row>
    <row r="98" spans="2:7" s="1040" customFormat="1" ht="15.6" customHeight="1" outlineLevel="1">
      <c r="B98" s="1036" t="s">
        <v>780</v>
      </c>
      <c r="C98" s="1037" t="str">
        <f>VLOOKUP(B98,'ANALISA UTAMA'!A:J,4,0)</f>
        <v>Pemasangan 1 buah Tempat Sabun</v>
      </c>
      <c r="D98" s="1038">
        <f>VLOOKUP(B98,'ANALISA UTAMA'!A:J,10,0)</f>
        <v>256593.75</v>
      </c>
      <c r="E98" s="1039">
        <f>VLOOKUP(B98,RAB!J:M,3,0)</f>
        <v>256593.75</v>
      </c>
    </row>
    <row r="99" spans="2:7" s="1040" customFormat="1" ht="15.6" customHeight="1" collapsed="1">
      <c r="B99" s="1044"/>
      <c r="C99" s="1037"/>
      <c r="D99" s="1038"/>
      <c r="E99" s="1039" t="e">
        <f>VLOOKUP(B99,RAB!J:M,3,0)</f>
        <v>#N/A</v>
      </c>
      <c r="G99" s="1040" t="s">
        <v>845</v>
      </c>
    </row>
    <row r="100" spans="2:7" s="1031" customFormat="1" ht="15.6" customHeight="1">
      <c r="B100" s="1035" t="s">
        <v>695</v>
      </c>
      <c r="C100" s="1033"/>
      <c r="D100" s="1038"/>
      <c r="E100" s="1039" t="e">
        <f>VLOOKUP(B100,RAB!J:M,3,0)</f>
        <v>#N/A</v>
      </c>
    </row>
    <row r="101" spans="2:7" s="1040" customFormat="1" ht="15.6" customHeight="1" outlineLevel="1">
      <c r="B101" s="1036" t="s">
        <v>284</v>
      </c>
      <c r="C101" s="1037" t="str">
        <f>VLOOKUP(B101,'ANALISA UTAMA'!A:J,4,0)</f>
        <v>Pemasangan 1 m’ pipa PVC tipe AW diameter ½ ”</v>
      </c>
      <c r="D101" s="1038">
        <f>VLOOKUP(B101,'ANALISA UTAMA'!A:J,10,0)</f>
        <v>41465.166666666672</v>
      </c>
      <c r="E101" s="1039">
        <f>VLOOKUP(B101,RAB!J:M,3,0)</f>
        <v>41465.166666666672</v>
      </c>
    </row>
    <row r="102" spans="2:7" s="1040" customFormat="1" ht="15.6" customHeight="1" outlineLevel="1">
      <c r="B102" s="1036" t="s">
        <v>690</v>
      </c>
      <c r="C102" s="1037" t="str">
        <f>VLOOKUP(B102,'ANALISA UTAMA'!A:J,4,0)</f>
        <v>Pemasangan 1 m’ pipa PVC tipe AW diameter 3/4 ”</v>
      </c>
      <c r="D102" s="1038">
        <f>VLOOKUP(B102,'ANALISA UTAMA'!A:J,10,0)</f>
        <v>32552.666666666664</v>
      </c>
      <c r="E102" s="1039">
        <f>VLOOKUP(B102,RAB!J:M,3,0)</f>
        <v>32552.666666666664</v>
      </c>
    </row>
    <row r="103" spans="2:7" s="1040" customFormat="1" ht="15.6" customHeight="1" outlineLevel="1">
      <c r="B103" s="1036" t="s">
        <v>691</v>
      </c>
      <c r="C103" s="1037" t="str">
        <f>VLOOKUP(B103,'ANALISA UTAMA'!A:J,4,0)</f>
        <v>Pemasangan 1 m’ pipa PVC tipe AW diameter 1”</v>
      </c>
      <c r="D103" s="1038">
        <f>VLOOKUP(B103,'ANALISA UTAMA'!A:J,10,0)</f>
        <v>44372.75</v>
      </c>
      <c r="E103" s="1039">
        <f>VLOOKUP(B103,RAB!J:M,3,0)</f>
        <v>44372.75</v>
      </c>
    </row>
    <row r="104" spans="2:7" s="1040" customFormat="1" ht="15.6" customHeight="1" outlineLevel="1">
      <c r="B104" s="1036" t="s">
        <v>692</v>
      </c>
      <c r="C104" s="1037" t="str">
        <f>VLOOKUP(B104,'ANALISA UTAMA'!A:J,4,0)</f>
        <v>Pemasangan 1 m’ pipa PVC tipe AW diameter 1 ½ ”</v>
      </c>
      <c r="D104" s="1038">
        <f>VLOOKUP(B104,'ANALISA UTAMA'!A:J,10,0)</f>
        <v>50314.416666666672</v>
      </c>
      <c r="E104" s="1039">
        <f>VLOOKUP(B104,RAB!J:M,3,0)</f>
        <v>50314.416666666672</v>
      </c>
    </row>
    <row r="105" spans="2:7" s="1040" customFormat="1" ht="15.6" customHeight="1" outlineLevel="1">
      <c r="B105" s="1036" t="s">
        <v>693</v>
      </c>
      <c r="C105" s="1037" t="str">
        <f>VLOOKUP(B105,'ANALISA UTAMA'!A:J,4,0)</f>
        <v>Pemasangan 1 m’ pipa PVC tipe AW diameter 2”</v>
      </c>
      <c r="D105" s="1038">
        <f>VLOOKUP(B105,'ANALISA UTAMA'!A:J,10,0)</f>
        <v>71110.25</v>
      </c>
      <c r="E105" s="1039">
        <f>VLOOKUP(B105,RAB!J:M,3,0)</f>
        <v>71110.25</v>
      </c>
    </row>
    <row r="106" spans="2:7" s="1040" customFormat="1" ht="15.6" customHeight="1" outlineLevel="1">
      <c r="B106" s="1036" t="s">
        <v>766</v>
      </c>
      <c r="C106" s="1037" t="str">
        <f>VLOOKUP(B106,'ANALISA UTAMA'!A:J,4,0)</f>
        <v>Pemasangan 1 m’ pipa PVC tipe AW diameter 3”</v>
      </c>
      <c r="D106" s="1038">
        <f>VLOOKUP(B106,'ANALISA UTAMA'!A:J,10,0)</f>
        <v>100818.58333333333</v>
      </c>
      <c r="E106" s="1039">
        <f>VLOOKUP(B106,RAB!J:M,3,0)</f>
        <v>100818.58333333333</v>
      </c>
    </row>
    <row r="107" spans="2:7" s="1040" customFormat="1" ht="15.6" customHeight="1" outlineLevel="1">
      <c r="B107" s="1036" t="s">
        <v>657</v>
      </c>
      <c r="C107" s="1037" t="s">
        <v>635</v>
      </c>
      <c r="D107" s="1038">
        <v>12000</v>
      </c>
      <c r="E107" s="1039" t="e">
        <f>VLOOKUP(B107,RAB!J:M,3,0)</f>
        <v>#N/A</v>
      </c>
    </row>
    <row r="108" spans="2:7" s="1040" customFormat="1" ht="15.6" customHeight="1" outlineLevel="1">
      <c r="B108" s="1036" t="s">
        <v>662</v>
      </c>
      <c r="C108" s="1037" t="s">
        <v>636</v>
      </c>
      <c r="D108" s="1038">
        <v>15000</v>
      </c>
      <c r="E108" s="1039" t="e">
        <f>VLOOKUP(B108,RAB!J:M,3,0)</f>
        <v>#N/A</v>
      </c>
    </row>
    <row r="109" spans="2:7" s="1040" customFormat="1" ht="15.6" customHeight="1" outlineLevel="1">
      <c r="B109" s="1036" t="s">
        <v>663</v>
      </c>
      <c r="C109" s="1037" t="s">
        <v>637</v>
      </c>
      <c r="D109" s="1038">
        <v>20000</v>
      </c>
      <c r="E109" s="1039" t="e">
        <f>VLOOKUP(B109,RAB!J:M,3,0)</f>
        <v>#N/A</v>
      </c>
    </row>
    <row r="110" spans="2:7" s="1040" customFormat="1" ht="15.6" customHeight="1" outlineLevel="1">
      <c r="B110" s="1036" t="s">
        <v>664</v>
      </c>
      <c r="C110" s="1037" t="s">
        <v>638</v>
      </c>
      <c r="D110" s="1038">
        <v>30000</v>
      </c>
      <c r="E110" s="1039" t="e">
        <f>VLOOKUP(B110,RAB!J:M,3,0)</f>
        <v>#N/A</v>
      </c>
    </row>
    <row r="111" spans="2:7" s="1040" customFormat="1" ht="15.6" customHeight="1" outlineLevel="1">
      <c r="B111" s="1036" t="s">
        <v>665</v>
      </c>
      <c r="C111" s="1037" t="s">
        <v>639</v>
      </c>
      <c r="D111" s="1038">
        <v>45000</v>
      </c>
      <c r="E111" s="1039" t="e">
        <f>VLOOKUP(B111,RAB!J:M,3,0)</f>
        <v>#N/A</v>
      </c>
    </row>
    <row r="112" spans="2:7" s="1040" customFormat="1" ht="15.6" customHeight="1" outlineLevel="1">
      <c r="B112" s="1036" t="s">
        <v>666</v>
      </c>
      <c r="C112" s="1037" t="s">
        <v>640</v>
      </c>
      <c r="D112" s="1038">
        <v>60000</v>
      </c>
      <c r="E112" s="1039" t="e">
        <f>VLOOKUP(B112,RAB!J:M,3,0)</f>
        <v>#N/A</v>
      </c>
    </row>
    <row r="113" spans="2:7" s="1040" customFormat="1" ht="15.6" customHeight="1" outlineLevel="1">
      <c r="B113" s="1036" t="s">
        <v>667</v>
      </c>
      <c r="C113" s="1037" t="s">
        <v>642</v>
      </c>
      <c r="D113" s="1038">
        <v>12000</v>
      </c>
      <c r="E113" s="1039" t="e">
        <f>VLOOKUP(B113,RAB!J:M,3,0)</f>
        <v>#N/A</v>
      </c>
    </row>
    <row r="114" spans="2:7" s="1040" customFormat="1" ht="15.6" customHeight="1" outlineLevel="1">
      <c r="B114" s="1036" t="s">
        <v>668</v>
      </c>
      <c r="C114" s="1037" t="s">
        <v>643</v>
      </c>
      <c r="D114" s="1038">
        <v>15000</v>
      </c>
      <c r="E114" s="1039" t="e">
        <f>VLOOKUP(B114,RAB!J:M,3,0)</f>
        <v>#N/A</v>
      </c>
    </row>
    <row r="115" spans="2:7" s="1040" customFormat="1" ht="15.6" customHeight="1" outlineLevel="1">
      <c r="B115" s="1036" t="s">
        <v>669</v>
      </c>
      <c r="C115" s="1037" t="s">
        <v>644</v>
      </c>
      <c r="D115" s="1038">
        <v>20000</v>
      </c>
      <c r="E115" s="1039" t="e">
        <f>VLOOKUP(B115,RAB!J:M,3,0)</f>
        <v>#N/A</v>
      </c>
    </row>
    <row r="116" spans="2:7" s="1040" customFormat="1" ht="15.6" customHeight="1" outlineLevel="1">
      <c r="B116" s="1036" t="s">
        <v>670</v>
      </c>
      <c r="C116" s="1037" t="s">
        <v>645</v>
      </c>
      <c r="D116" s="1038">
        <v>30000</v>
      </c>
      <c r="E116" s="1039" t="e">
        <f>VLOOKUP(B116,RAB!J:M,3,0)</f>
        <v>#N/A</v>
      </c>
    </row>
    <row r="117" spans="2:7" s="1040" customFormat="1" ht="15.6" customHeight="1" outlineLevel="1">
      <c r="B117" s="1036" t="s">
        <v>671</v>
      </c>
      <c r="C117" s="1037" t="s">
        <v>646</v>
      </c>
      <c r="D117" s="1038">
        <v>45000</v>
      </c>
      <c r="E117" s="1039" t="e">
        <f>VLOOKUP(B117,RAB!J:M,3,0)</f>
        <v>#N/A</v>
      </c>
    </row>
    <row r="118" spans="2:7" s="1040" customFormat="1" ht="15.6" customHeight="1" outlineLevel="1">
      <c r="B118" s="1036" t="s">
        <v>672</v>
      </c>
      <c r="C118" s="1037" t="s">
        <v>647</v>
      </c>
      <c r="D118" s="1038">
        <v>60000</v>
      </c>
      <c r="E118" s="1039" t="e">
        <f>VLOOKUP(B118,RAB!J:M,3,0)</f>
        <v>#N/A</v>
      </c>
    </row>
    <row r="119" spans="2:7" s="1040" customFormat="1" ht="15.6" customHeight="1" collapsed="1">
      <c r="B119" s="1044"/>
      <c r="C119" s="1037"/>
      <c r="D119" s="1038"/>
      <c r="E119" s="1039" t="e">
        <f>VLOOKUP(B119,RAB!J:M,3,0)</f>
        <v>#N/A</v>
      </c>
    </row>
    <row r="120" spans="2:7" s="1031" customFormat="1" ht="15.6" customHeight="1">
      <c r="B120" s="1035" t="s">
        <v>289</v>
      </c>
      <c r="C120" s="1033"/>
      <c r="D120" s="1038"/>
      <c r="E120" s="1039" t="e">
        <f>VLOOKUP(B120,RAB!J:M,3,0)</f>
        <v>#N/A</v>
      </c>
    </row>
    <row r="121" spans="2:7" s="1040" customFormat="1" ht="15.6" customHeight="1" outlineLevel="1">
      <c r="B121" s="1036" t="s">
        <v>290</v>
      </c>
      <c r="C121" s="1037" t="str">
        <f>VLOOKUP(B121,'ANALISA UTAMA'!A:J,4,0)</f>
        <v>Pasang 1 Titik Instalasi Penerangan dan Stop Kontak dengan Kabel NYA 2x2,5 mm</v>
      </c>
      <c r="D121" s="1038">
        <f>VLOOKUP(B121,'ANALISA UTAMA'!A:J,10,0)</f>
        <v>232084.375</v>
      </c>
      <c r="E121" s="1039">
        <f>VLOOKUP(B121,RAB!J:M,3,0)</f>
        <v>232084.375</v>
      </c>
    </row>
    <row r="122" spans="2:7" s="1040" customFormat="1" ht="15.6" customHeight="1" outlineLevel="1">
      <c r="B122" s="1036" t="s">
        <v>295</v>
      </c>
      <c r="C122" s="1037" t="str">
        <f>VLOOKUP(B122,'ANALISA UTAMA'!A:J,4,0)</f>
        <v>Pasang 1 Set Stop Kontak</v>
      </c>
      <c r="D122" s="1038">
        <f>VLOOKUP(B122,'ANALISA UTAMA'!A:J,10,0)</f>
        <v>94213.75</v>
      </c>
      <c r="E122" s="1039">
        <f>VLOOKUP(B122,RAB!J:M,3,0)</f>
        <v>94213.75</v>
      </c>
      <c r="G122" s="1045" t="s">
        <v>475</v>
      </c>
    </row>
    <row r="123" spans="2:7" s="1040" customFormat="1" ht="15.6" customHeight="1" outlineLevel="1">
      <c r="B123" s="1036" t="s">
        <v>299</v>
      </c>
      <c r="C123" s="1037" t="str">
        <f>VLOOKUP(B123,'ANALISA UTAMA'!A:J,4,0)</f>
        <v>Pasang 1 Set Saklar Tunggal</v>
      </c>
      <c r="D123" s="1038">
        <f>VLOOKUP(B123,'ANALISA UTAMA'!A:J,10,0)</f>
        <v>88463.75</v>
      </c>
      <c r="E123" s="1039">
        <f>VLOOKUP(B123,RAB!J:M,3,0)</f>
        <v>88463.75</v>
      </c>
      <c r="G123" s="1045" t="s">
        <v>474</v>
      </c>
    </row>
    <row r="124" spans="2:7" s="1040" customFormat="1" ht="15.6" customHeight="1" outlineLevel="1">
      <c r="B124" s="1036" t="s">
        <v>302</v>
      </c>
      <c r="C124" s="1037" t="str">
        <f>VLOOKUP(B124,'ANALISA UTAMA'!A:J,4,0)</f>
        <v>Pasang 1 Set Saklar Ganda</v>
      </c>
      <c r="D124" s="1038">
        <f>VLOOKUP(B124,'ANALISA UTAMA'!A:J,10,0)</f>
        <v>105713.75</v>
      </c>
      <c r="E124" s="1039">
        <f>VLOOKUP(B124,RAB!J:M,3,0)</f>
        <v>105713.75</v>
      </c>
      <c r="G124" s="1045" t="s">
        <v>470</v>
      </c>
    </row>
    <row r="125" spans="2:7" s="1040" customFormat="1" ht="15.6" customHeight="1" outlineLevel="1">
      <c r="B125" s="1036" t="s">
        <v>304</v>
      </c>
      <c r="C125" s="1037" t="str">
        <f>VLOOKUP(B125,'ANALISA UTAMA'!A:J,4,0)</f>
        <v>Pasang 1 Set Lampu Downlight</v>
      </c>
      <c r="D125" s="1038">
        <f>VLOOKUP(B125,'ANALISA UTAMA'!A:J,10,0)</f>
        <v>149413.75</v>
      </c>
      <c r="E125" s="1039" t="e">
        <f>VLOOKUP(B125,RAB!J:M,3,0)</f>
        <v>#N/A</v>
      </c>
      <c r="G125" s="1045" t="s">
        <v>471</v>
      </c>
    </row>
    <row r="126" spans="2:7" s="1040" customFormat="1" ht="15.6" customHeight="1" outlineLevel="1">
      <c r="B126" s="1036" t="s">
        <v>607</v>
      </c>
      <c r="C126" s="1037" t="str">
        <f>VLOOKUP(B126,'ANALISA UTAMA'!A:J,4,0)</f>
        <v>Pasang 1 Set Armature TKO V  LED 2 x 16 watt</v>
      </c>
      <c r="D126" s="1038">
        <f>VLOOKUP(B126,'ANALISA UTAMA'!A:J,10,0)</f>
        <v>436913.75</v>
      </c>
      <c r="E126" s="1039">
        <f>VLOOKUP(B126,RAB!J:M,3,0)</f>
        <v>436913.75</v>
      </c>
      <c r="G126" s="1045" t="s">
        <v>472</v>
      </c>
    </row>
    <row r="127" spans="2:7" s="1040" customFormat="1" ht="15.6" customHeight="1" outlineLevel="1">
      <c r="B127" s="1036" t="s">
        <v>613</v>
      </c>
      <c r="C127" s="1037" t="str">
        <f>VLOOKUP(B127,'ANALISA UTAMA'!A:J,4,0)</f>
        <v>Pasang 1 buah Lampu LED 7 watt + Fitting Down Light</v>
      </c>
      <c r="D127" s="1038">
        <f>VLOOKUP(B127,'ANALISA UTAMA'!A:J,10,0)</f>
        <v>121813.75</v>
      </c>
      <c r="E127" s="1039">
        <f>VLOOKUP(B127,RAB!J:M,3,0)</f>
        <v>121813.75</v>
      </c>
      <c r="G127" s="1045" t="s">
        <v>473</v>
      </c>
    </row>
    <row r="128" spans="2:7" s="1040" customFormat="1" ht="15.6" customHeight="1" outlineLevel="1">
      <c r="B128" s="1036" t="s">
        <v>308</v>
      </c>
      <c r="C128" s="1037" t="str">
        <f>VLOOKUP(B128,'ANALISA UTAMA'!A:J,4,0)</f>
        <v>Pasang 1 Unit MCB</v>
      </c>
      <c r="D128" s="1038">
        <f>VLOOKUP(B128,'ANALISA UTAMA'!A:J,10,0)</f>
        <v>748434.375</v>
      </c>
      <c r="E128" s="1039" t="e">
        <f>VLOOKUP(B128,RAB!J:M,3,0)</f>
        <v>#N/A</v>
      </c>
    </row>
    <row r="129" spans="2:5" s="1040" customFormat="1" ht="15.6" customHeight="1" collapsed="1">
      <c r="B129" s="1044"/>
      <c r="C129" s="1037"/>
      <c r="D129" s="1038"/>
      <c r="E129" s="1039" t="e">
        <f>VLOOKUP(B129,RAB!J:M,3,0)</f>
        <v>#N/A</v>
      </c>
    </row>
    <row r="130" spans="2:5" s="1031" customFormat="1" ht="15.6" customHeight="1">
      <c r="B130" s="1035" t="s">
        <v>703</v>
      </c>
      <c r="C130" s="1033"/>
      <c r="D130" s="1038"/>
      <c r="E130" s="1039" t="e">
        <f>VLOOKUP(B130,RAB!J:M,3,0)</f>
        <v>#N/A</v>
      </c>
    </row>
    <row r="131" spans="2:5" s="1040" customFormat="1" ht="15.6" customHeight="1" outlineLevel="1">
      <c r="B131" s="1036" t="s">
        <v>796</v>
      </c>
      <c r="C131" s="1037" t="s">
        <v>801</v>
      </c>
      <c r="D131" s="1038">
        <f>VLOOKUP(B131,'ANALISA UTAMA'!A:J,10,0)</f>
        <v>350663.75</v>
      </c>
      <c r="E131" s="1039">
        <f>VLOOKUP(B131,RAB!J:M,3,0)</f>
        <v>350663.75</v>
      </c>
    </row>
    <row r="132" spans="2:5" s="1040" customFormat="1" ht="15.6" customHeight="1" outlineLevel="1">
      <c r="B132" s="1036" t="s">
        <v>945</v>
      </c>
      <c r="C132" s="1037" t="s">
        <v>946</v>
      </c>
      <c r="D132" s="1038">
        <f>VLOOKUP(B132,'ANALISA UTAMA'!A:J,10,0)</f>
        <v>224163.75</v>
      </c>
      <c r="E132" s="1039">
        <f>VLOOKUP(B132,RAB!J:M,3,0)</f>
        <v>224163.75</v>
      </c>
    </row>
    <row r="133" spans="2:5" s="1040" customFormat="1" ht="15.6" customHeight="1" outlineLevel="1">
      <c r="B133" s="1036" t="s">
        <v>797</v>
      </c>
      <c r="C133" s="1037" t="s">
        <v>704</v>
      </c>
      <c r="D133" s="1038">
        <f>VLOOKUP(B133,'ANALISA UTAMA'!A:J,10,0)</f>
        <v>948428</v>
      </c>
      <c r="E133" s="1039">
        <f>VLOOKUP(B133,RAB!J:M,3,0)</f>
        <v>948428</v>
      </c>
    </row>
    <row r="134" spans="2:5" s="1040" customFormat="1" ht="15.6" customHeight="1" outlineLevel="1">
      <c r="B134" s="1036" t="s">
        <v>800</v>
      </c>
      <c r="C134" s="1037" t="s">
        <v>799</v>
      </c>
      <c r="D134" s="1038">
        <f>VLOOKUP(B134,'ANALISA UTAMA'!A:J,10,0)</f>
        <v>705136.875</v>
      </c>
      <c r="E134" s="1039">
        <f>VLOOKUP(B134,RAB!J:M,3,0)</f>
        <v>705136.875</v>
      </c>
    </row>
    <row r="135" spans="2:5" s="1040" customFormat="1" ht="15.6" customHeight="1" outlineLevel="1">
      <c r="B135" s="1036" t="s">
        <v>798</v>
      </c>
      <c r="C135" s="1037" t="s">
        <v>705</v>
      </c>
      <c r="D135" s="1038">
        <f>VLOOKUP(B135,'ANALISA UTAMA'!A:J,10,0)</f>
        <v>230805</v>
      </c>
      <c r="E135" s="1039">
        <f>VLOOKUP(B135,RAB!J:M,3,0)</f>
        <v>230805</v>
      </c>
    </row>
    <row r="136" spans="2:5" s="1040" customFormat="1" ht="15.6" customHeight="1" outlineLevel="1">
      <c r="B136" s="1036" t="s">
        <v>805</v>
      </c>
      <c r="C136" s="1037" t="s">
        <v>449</v>
      </c>
      <c r="D136" s="1038">
        <f>VLOOKUP(B136,'ANALISA UTAMA'!A:J,10,0)</f>
        <v>884602.23019505502</v>
      </c>
      <c r="E136" s="1039">
        <f>VLOOKUP(B136,RAB!J:M,3,0)</f>
        <v>884602.23019505502</v>
      </c>
    </row>
    <row r="137" spans="2:5" s="1040" customFormat="1" ht="15.6" customHeight="1" outlineLevel="1">
      <c r="B137" s="1036" t="s">
        <v>806</v>
      </c>
      <c r="C137" s="1037" t="s">
        <v>448</v>
      </c>
      <c r="D137" s="1038">
        <f>VLOOKUP(B137,'ANALISA UTAMA'!A:J,10,0)</f>
        <v>246790</v>
      </c>
      <c r="E137" s="1039">
        <f>VLOOKUP(B137,RAB!J:M,3,0)</f>
        <v>246790</v>
      </c>
    </row>
    <row r="138" spans="2:5" s="1040" customFormat="1" ht="14.4" outlineLevel="1" thickBot="1">
      <c r="B138" s="1047"/>
      <c r="C138" s="1048"/>
      <c r="D138" s="1049"/>
      <c r="E138" s="1039" t="e">
        <f>VLOOKUP(B138,RAB!J:M,3,0)</f>
        <v>#N/A</v>
      </c>
    </row>
    <row r="139" spans="2:5" ht="15.6">
      <c r="D139" s="72"/>
      <c r="E139" s="753" t="e">
        <f>VLOOKUP(B139,RAB!J:M,3,0)</f>
        <v>#N/A</v>
      </c>
    </row>
    <row r="141" spans="2:5" ht="15.6">
      <c r="C141" s="695" t="s">
        <v>704</v>
      </c>
      <c r="D141" s="694">
        <f>557000*1.15</f>
        <v>640550</v>
      </c>
    </row>
    <row r="142" spans="2:5" ht="15.6">
      <c r="C142" s="695" t="s">
        <v>705</v>
      </c>
      <c r="D142" s="694" t="b">
        <f>D135=135000*1.15</f>
        <v>0</v>
      </c>
    </row>
    <row r="143" spans="2:5" ht="15.6">
      <c r="C143" s="693"/>
    </row>
  </sheetData>
  <sortState xmlns:xlrd2="http://schemas.microsoft.com/office/spreadsheetml/2017/richdata2" ref="B6:D26">
    <sortCondition ref="B5"/>
  </sortState>
  <mergeCells count="1">
    <mergeCell ref="B3:D4"/>
  </mergeCells>
  <printOptions horizontalCentered="1"/>
  <pageMargins left="0.59055118110236227" right="0.39370078740157483" top="0.59055118110236227" bottom="0.39370078740157483" header="0.31496062992125984" footer="0.31496062992125984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/>
  </sheetPr>
  <dimension ref="A3:O1880"/>
  <sheetViews>
    <sheetView view="pageBreakPreview" topLeftCell="A1098" zoomScaleNormal="100" zoomScaleSheetLayoutView="100" workbookViewId="0">
      <selection activeCell="G63" sqref="G63"/>
    </sheetView>
  </sheetViews>
  <sheetFormatPr defaultColWidth="9.21875" defaultRowHeight="15.6" outlineLevelRow="1" outlineLevelCol="1"/>
  <cols>
    <col min="1" max="1" width="13" style="167" customWidth="1"/>
    <col min="2" max="2" width="10.109375" style="270" customWidth="1"/>
    <col min="3" max="3" width="4.44140625" style="185" customWidth="1" outlineLevel="1"/>
    <col min="4" max="4" width="29.109375" style="185" customWidth="1" outlineLevel="1"/>
    <col min="5" max="5" width="5.77734375" style="270" customWidth="1" outlineLevel="1"/>
    <col min="6" max="6" width="10.5546875" style="270" customWidth="1" outlineLevel="1"/>
    <col min="7" max="7" width="11.88671875" style="270" customWidth="1" outlineLevel="1"/>
    <col min="8" max="8" width="18.33203125" style="189" customWidth="1" outlineLevel="1"/>
    <col min="9" max="9" width="21.5546875" style="185" customWidth="1" outlineLevel="1"/>
    <col min="10" max="10" width="17.21875" style="172" customWidth="1"/>
    <col min="11" max="11" width="13.77734375" style="154" bestFit="1" customWidth="1"/>
    <col min="12" max="12" width="20.44140625" style="756" customWidth="1"/>
    <col min="13" max="13" width="9.88671875" style="154" bestFit="1" customWidth="1"/>
    <col min="14" max="16384" width="9.21875" style="154"/>
  </cols>
  <sheetData>
    <row r="3" spans="1:10" ht="30" customHeight="1">
      <c r="A3" s="152"/>
      <c r="B3" s="1268" t="s">
        <v>242</v>
      </c>
      <c r="C3" s="1268"/>
      <c r="D3" s="1268"/>
      <c r="E3" s="1268"/>
      <c r="F3" s="1268"/>
      <c r="G3" s="1268"/>
      <c r="H3" s="1268"/>
      <c r="I3" s="1268"/>
      <c r="J3" s="153">
        <v>0.15</v>
      </c>
    </row>
    <row r="4" spans="1:10" ht="16.5" customHeight="1">
      <c r="A4" s="152"/>
      <c r="B4" s="346"/>
      <c r="C4" s="346"/>
      <c r="D4" s="346"/>
      <c r="E4" s="346"/>
      <c r="F4" s="346"/>
      <c r="G4" s="346"/>
      <c r="H4" s="346"/>
      <c r="I4" s="346"/>
      <c r="J4" s="153"/>
    </row>
    <row r="5" spans="1:10" ht="20.399999999999999">
      <c r="A5" s="155"/>
      <c r="B5" s="571" t="s">
        <v>248</v>
      </c>
      <c r="C5" s="156"/>
      <c r="D5" s="156"/>
      <c r="E5" s="156"/>
      <c r="F5" s="156"/>
      <c r="G5" s="712"/>
      <c r="H5" s="157"/>
      <c r="I5" s="156"/>
      <c r="J5" s="158"/>
    </row>
    <row r="6" spans="1:10">
      <c r="A6" s="159" t="str">
        <f>B6</f>
        <v>A. 2.2.1.4</v>
      </c>
      <c r="B6" s="159" t="s">
        <v>251</v>
      </c>
      <c r="C6" s="160"/>
      <c r="D6" s="159" t="s">
        <v>518</v>
      </c>
      <c r="E6" s="159"/>
      <c r="F6" s="159"/>
      <c r="G6" s="163"/>
      <c r="H6" s="161"/>
      <c r="I6" s="160"/>
      <c r="J6" s="162">
        <f>I23</f>
        <v>110198.75</v>
      </c>
    </row>
    <row r="7" spans="1:10" ht="31.2" outlineLevel="1">
      <c r="A7" s="163"/>
      <c r="B7" s="164" t="s">
        <v>75</v>
      </c>
      <c r="C7" s="1254" t="s">
        <v>140</v>
      </c>
      <c r="D7" s="1255"/>
      <c r="E7" s="164" t="s">
        <v>141</v>
      </c>
      <c r="F7" s="164" t="s">
        <v>142</v>
      </c>
      <c r="G7" s="164" t="s">
        <v>143</v>
      </c>
      <c r="H7" s="165" t="s">
        <v>144</v>
      </c>
      <c r="I7" s="165" t="s">
        <v>145</v>
      </c>
      <c r="J7" s="166"/>
    </row>
    <row r="8" spans="1:10" outlineLevel="1">
      <c r="B8" s="165" t="s">
        <v>146</v>
      </c>
      <c r="C8" s="168" t="s">
        <v>147</v>
      </c>
      <c r="D8" s="169"/>
      <c r="E8" s="170"/>
      <c r="F8" s="170"/>
      <c r="G8" s="170"/>
      <c r="H8" s="171"/>
      <c r="I8" s="171"/>
    </row>
    <row r="9" spans="1:10" outlineLevel="1">
      <c r="B9" s="165"/>
      <c r="C9" s="168" t="s">
        <v>77</v>
      </c>
      <c r="D9" s="169"/>
      <c r="E9" s="165" t="s">
        <v>148</v>
      </c>
      <c r="F9" s="165" t="s">
        <v>76</v>
      </c>
      <c r="G9" s="173">
        <v>0.1</v>
      </c>
      <c r="H9" s="174">
        <f>VLOOKUP(C9,'UPAH-BAHAN'!D:F,2,0)</f>
        <v>120000</v>
      </c>
      <c r="I9" s="175">
        <f>G9*H9</f>
        <v>12000</v>
      </c>
    </row>
    <row r="10" spans="1:10" outlineLevel="1">
      <c r="B10" s="165"/>
      <c r="C10" s="168" t="s">
        <v>106</v>
      </c>
      <c r="D10" s="169"/>
      <c r="E10" s="165" t="s">
        <v>149</v>
      </c>
      <c r="F10" s="165" t="s">
        <v>76</v>
      </c>
      <c r="G10" s="173">
        <v>0.1</v>
      </c>
      <c r="H10" s="174">
        <f>VLOOKUP(C10,'UPAH-BAHAN'!D:F,2,0)</f>
        <v>160000</v>
      </c>
      <c r="I10" s="175">
        <f>G10*H10</f>
        <v>16000</v>
      </c>
    </row>
    <row r="11" spans="1:10" outlineLevel="1">
      <c r="B11" s="165"/>
      <c r="C11" s="168" t="s">
        <v>79</v>
      </c>
      <c r="D11" s="169"/>
      <c r="E11" s="165" t="s">
        <v>150</v>
      </c>
      <c r="F11" s="165" t="s">
        <v>76</v>
      </c>
      <c r="G11" s="165">
        <v>0.01</v>
      </c>
      <c r="H11" s="174">
        <f>VLOOKUP(C11,'UPAH-BAHAN'!D:F,2,0)</f>
        <v>170000</v>
      </c>
      <c r="I11" s="175">
        <f>G11*H11</f>
        <v>1700</v>
      </c>
    </row>
    <row r="12" spans="1:10" outlineLevel="1">
      <c r="B12" s="165"/>
      <c r="C12" s="168" t="s">
        <v>80</v>
      </c>
      <c r="D12" s="169"/>
      <c r="E12" s="165" t="s">
        <v>151</v>
      </c>
      <c r="F12" s="165" t="s">
        <v>76</v>
      </c>
      <c r="G12" s="165">
        <v>5.0000000000000001E-3</v>
      </c>
      <c r="H12" s="174">
        <f>VLOOKUP(C12,'UPAH-BAHAN'!D:F,2,0)</f>
        <v>225000</v>
      </c>
      <c r="I12" s="175">
        <f>G12*H12</f>
        <v>1125</v>
      </c>
    </row>
    <row r="13" spans="1:10" outlineLevel="1">
      <c r="B13" s="165"/>
      <c r="C13" s="176"/>
      <c r="D13" s="169"/>
      <c r="E13" s="170"/>
      <c r="F13" s="170"/>
      <c r="G13" s="340" t="s">
        <v>173</v>
      </c>
      <c r="H13" s="177"/>
      <c r="I13" s="175">
        <f>SUM(I9:I12)</f>
        <v>30825</v>
      </c>
    </row>
    <row r="14" spans="1:10" outlineLevel="1">
      <c r="B14" s="165" t="s">
        <v>153</v>
      </c>
      <c r="C14" s="168" t="s">
        <v>154</v>
      </c>
      <c r="D14" s="169"/>
      <c r="E14" s="170"/>
      <c r="F14" s="170"/>
      <c r="G14" s="165"/>
      <c r="H14" s="175"/>
      <c r="I14" s="175"/>
    </row>
    <row r="15" spans="1:10" outlineLevel="1">
      <c r="B15" s="165"/>
      <c r="C15" s="178" t="s">
        <v>252</v>
      </c>
      <c r="D15" s="169"/>
      <c r="E15" s="170"/>
      <c r="F15" s="165" t="s">
        <v>81</v>
      </c>
      <c r="G15" s="165">
        <v>1.2E-2</v>
      </c>
      <c r="H15" s="174">
        <f>VLOOKUP(C15,'UPAH-BAHAN'!D:F,2,0)</f>
        <v>3400000</v>
      </c>
      <c r="I15" s="175">
        <f>G15*H15</f>
        <v>40800</v>
      </c>
    </row>
    <row r="16" spans="1:10" outlineLevel="1">
      <c r="B16" s="165"/>
      <c r="C16" s="168" t="s">
        <v>209</v>
      </c>
      <c r="D16" s="169"/>
      <c r="E16" s="170"/>
      <c r="F16" s="165" t="s">
        <v>69</v>
      </c>
      <c r="G16" s="173">
        <v>0.02</v>
      </c>
      <c r="H16" s="174">
        <f>VLOOKUP(C16,'UPAH-BAHAN'!D:F,2,0)</f>
        <v>20000</v>
      </c>
      <c r="I16" s="175">
        <f>G16*H16</f>
        <v>400</v>
      </c>
    </row>
    <row r="17" spans="1:10" outlineLevel="1">
      <c r="B17" s="165"/>
      <c r="C17" s="178" t="s">
        <v>155</v>
      </c>
      <c r="D17" s="169"/>
      <c r="E17" s="170"/>
      <c r="F17" s="165" t="s">
        <v>81</v>
      </c>
      <c r="G17" s="173">
        <v>7.0000000000000001E-3</v>
      </c>
      <c r="H17" s="174">
        <f>VLOOKUP(C17,'UPAH-BAHAN'!D:F,2,0)</f>
        <v>3400000</v>
      </c>
      <c r="I17" s="175">
        <f>G17*H17</f>
        <v>23800</v>
      </c>
    </row>
    <row r="18" spans="1:10" outlineLevel="1">
      <c r="B18" s="165"/>
      <c r="C18" s="168"/>
      <c r="D18" s="169"/>
      <c r="E18" s="170"/>
      <c r="F18" s="170"/>
      <c r="G18" s="340" t="s">
        <v>172</v>
      </c>
      <c r="H18" s="175"/>
      <c r="I18" s="175">
        <f>SUM(I15:I17)</f>
        <v>65000</v>
      </c>
    </row>
    <row r="19" spans="1:10" outlineLevel="1">
      <c r="B19" s="165" t="s">
        <v>157</v>
      </c>
      <c r="C19" s="168" t="s">
        <v>158</v>
      </c>
      <c r="D19" s="169"/>
      <c r="E19" s="170"/>
      <c r="F19" s="170"/>
      <c r="G19" s="170"/>
      <c r="H19" s="175"/>
      <c r="I19" s="175"/>
    </row>
    <row r="20" spans="1:10" outlineLevel="1">
      <c r="B20" s="165"/>
      <c r="C20" s="168"/>
      <c r="D20" s="169"/>
      <c r="E20" s="170"/>
      <c r="F20" s="170"/>
      <c r="G20" s="340" t="s">
        <v>159</v>
      </c>
      <c r="H20" s="175"/>
      <c r="I20" s="175">
        <v>0</v>
      </c>
    </row>
    <row r="21" spans="1:10" outlineLevel="1">
      <c r="B21" s="165" t="s">
        <v>160</v>
      </c>
      <c r="C21" s="168" t="s">
        <v>161</v>
      </c>
      <c r="D21" s="169"/>
      <c r="E21" s="171"/>
      <c r="F21" s="171"/>
      <c r="G21" s="165"/>
      <c r="H21" s="175"/>
      <c r="I21" s="175">
        <f>I20+I18+I13</f>
        <v>95825</v>
      </c>
    </row>
    <row r="22" spans="1:10" outlineLevel="1">
      <c r="B22" s="165" t="s">
        <v>162</v>
      </c>
      <c r="C22" s="168" t="s">
        <v>82</v>
      </c>
      <c r="D22" s="169"/>
      <c r="E22" s="194"/>
      <c r="F22" s="179"/>
      <c r="G22" s="180">
        <f>$J$3</f>
        <v>0.15</v>
      </c>
      <c r="H22" s="171"/>
      <c r="I22" s="175">
        <f>I21*G22</f>
        <v>14373.75</v>
      </c>
    </row>
    <row r="23" spans="1:10" outlineLevel="1">
      <c r="B23" s="165" t="s">
        <v>163</v>
      </c>
      <c r="C23" s="168" t="s">
        <v>164</v>
      </c>
      <c r="D23" s="169"/>
      <c r="E23" s="742"/>
      <c r="F23" s="181"/>
      <c r="G23" s="713"/>
      <c r="H23" s="182"/>
      <c r="I23" s="183">
        <f>I21+I22</f>
        <v>110198.75</v>
      </c>
    </row>
    <row r="24" spans="1:10">
      <c r="A24" s="167" t="str">
        <f>B24</f>
        <v>Hit. SMK3</v>
      </c>
      <c r="B24" s="287" t="s">
        <v>249</v>
      </c>
      <c r="D24" s="167" t="s">
        <v>250</v>
      </c>
      <c r="J24" s="172">
        <f>I40</f>
        <v>1362750</v>
      </c>
    </row>
    <row r="25" spans="1:10" ht="31.2" outlineLevel="1">
      <c r="A25" s="163"/>
      <c r="B25" s="164" t="s">
        <v>75</v>
      </c>
      <c r="C25" s="1254" t="s">
        <v>140</v>
      </c>
      <c r="D25" s="1255"/>
      <c r="E25" s="164" t="s">
        <v>141</v>
      </c>
      <c r="F25" s="164" t="s">
        <v>142</v>
      </c>
      <c r="G25" s="164" t="s">
        <v>143</v>
      </c>
      <c r="H25" s="165" t="s">
        <v>144</v>
      </c>
      <c r="I25" s="165" t="s">
        <v>145</v>
      </c>
      <c r="J25" s="166"/>
    </row>
    <row r="26" spans="1:10" outlineLevel="1">
      <c r="B26" s="165" t="s">
        <v>146</v>
      </c>
      <c r="C26" s="168" t="s">
        <v>147</v>
      </c>
      <c r="D26" s="169"/>
      <c r="E26" s="170"/>
      <c r="F26" s="274"/>
      <c r="G26" s="274"/>
      <c r="H26" s="279"/>
      <c r="I26" s="279"/>
    </row>
    <row r="27" spans="1:10" outlineLevel="1">
      <c r="B27" s="165"/>
      <c r="C27" s="168"/>
      <c r="D27" s="169"/>
      <c r="E27" s="170"/>
      <c r="F27" s="274"/>
      <c r="G27" s="340" t="s">
        <v>171</v>
      </c>
      <c r="H27" s="296"/>
      <c r="I27" s="296"/>
    </row>
    <row r="28" spans="1:10" outlineLevel="1">
      <c r="B28" s="165" t="s">
        <v>153</v>
      </c>
      <c r="C28" s="168" t="s">
        <v>154</v>
      </c>
      <c r="D28" s="169"/>
      <c r="E28" s="170"/>
      <c r="F28" s="274"/>
      <c r="G28" s="274"/>
      <c r="H28" s="296"/>
      <c r="I28" s="296"/>
    </row>
    <row r="29" spans="1:10" outlineLevel="1">
      <c r="B29" s="165"/>
      <c r="C29" s="168" t="s">
        <v>236</v>
      </c>
      <c r="D29" s="169"/>
      <c r="E29" s="170"/>
      <c r="F29" s="275" t="s">
        <v>237</v>
      </c>
      <c r="G29" s="275">
        <v>5</v>
      </c>
      <c r="H29" s="174">
        <f>VLOOKUP(C29,'UPAH-BAHAN'!D:F,2,0)</f>
        <v>55000</v>
      </c>
      <c r="I29" s="296">
        <f>H29*G29</f>
        <v>275000</v>
      </c>
    </row>
    <row r="30" spans="1:10" outlineLevel="1">
      <c r="B30" s="165"/>
      <c r="C30" s="168" t="s">
        <v>238</v>
      </c>
      <c r="D30" s="169"/>
      <c r="E30" s="170"/>
      <c r="F30" s="275" t="s">
        <v>62</v>
      </c>
      <c r="G30" s="275">
        <v>5</v>
      </c>
      <c r="H30" s="174">
        <f>VLOOKUP(C30,'UPAH-BAHAN'!D:F,2,0)</f>
        <v>50000</v>
      </c>
      <c r="I30" s="296">
        <f>H30*G30</f>
        <v>250000</v>
      </c>
    </row>
    <row r="31" spans="1:10" outlineLevel="1">
      <c r="B31" s="165"/>
      <c r="C31" s="168" t="s">
        <v>239</v>
      </c>
      <c r="D31" s="169"/>
      <c r="E31" s="170"/>
      <c r="F31" s="275" t="s">
        <v>240</v>
      </c>
      <c r="G31" s="275">
        <v>5</v>
      </c>
      <c r="H31" s="174">
        <f>VLOOKUP(C31,'UPAH-BAHAN'!D:F,2,0)</f>
        <v>120000</v>
      </c>
      <c r="I31" s="296">
        <f>H31*G31</f>
        <v>600000</v>
      </c>
    </row>
    <row r="32" spans="1:10" outlineLevel="1">
      <c r="B32" s="165"/>
      <c r="C32" s="168" t="s">
        <v>241</v>
      </c>
      <c r="D32" s="169"/>
      <c r="E32" s="170"/>
      <c r="F32" s="275" t="s">
        <v>240</v>
      </c>
      <c r="G32" s="275">
        <v>5</v>
      </c>
      <c r="H32" s="174">
        <f>VLOOKUP(C32,'UPAH-BAHAN'!D:F,2,0)</f>
        <v>12000</v>
      </c>
      <c r="I32" s="296">
        <f>H32*G32</f>
        <v>60000</v>
      </c>
    </row>
    <row r="33" spans="1:10" outlineLevel="1">
      <c r="B33" s="165"/>
      <c r="C33" s="168"/>
      <c r="D33" s="169"/>
      <c r="E33" s="170"/>
      <c r="F33" s="274"/>
      <c r="G33" s="340" t="s">
        <v>172</v>
      </c>
      <c r="H33" s="296"/>
      <c r="I33" s="296">
        <f>SUM(I29:I32)</f>
        <v>1185000</v>
      </c>
    </row>
    <row r="34" spans="1:10" outlineLevel="1">
      <c r="B34" s="165" t="s">
        <v>157</v>
      </c>
      <c r="C34" s="168" t="s">
        <v>158</v>
      </c>
      <c r="D34" s="169"/>
      <c r="E34" s="170"/>
      <c r="F34" s="274"/>
      <c r="G34" s="274"/>
      <c r="H34" s="279"/>
      <c r="I34" s="279"/>
    </row>
    <row r="35" spans="1:10" outlineLevel="1">
      <c r="B35" s="165"/>
      <c r="C35" s="168"/>
      <c r="D35" s="169"/>
      <c r="E35" s="170"/>
      <c r="F35" s="274"/>
      <c r="G35" s="274"/>
      <c r="H35" s="279"/>
      <c r="I35" s="279"/>
    </row>
    <row r="36" spans="1:10" outlineLevel="1">
      <c r="B36" s="275"/>
      <c r="C36" s="327"/>
      <c r="D36" s="328"/>
      <c r="E36" s="170"/>
      <c r="F36" s="274"/>
      <c r="G36" s="340" t="s">
        <v>159</v>
      </c>
      <c r="H36" s="279"/>
      <c r="I36" s="279">
        <f>I35</f>
        <v>0</v>
      </c>
    </row>
    <row r="37" spans="1:10" outlineLevel="1">
      <c r="B37" s="274"/>
      <c r="C37" s="329"/>
      <c r="D37" s="330"/>
      <c r="E37" s="170"/>
      <c r="F37" s="274"/>
      <c r="G37" s="274"/>
      <c r="H37" s="279"/>
      <c r="I37" s="279"/>
    </row>
    <row r="38" spans="1:10" outlineLevel="1">
      <c r="B38" s="165" t="s">
        <v>160</v>
      </c>
      <c r="C38" s="168" t="s">
        <v>161</v>
      </c>
      <c r="D38" s="169"/>
      <c r="E38" s="171"/>
      <c r="F38" s="279"/>
      <c r="G38" s="275"/>
      <c r="H38" s="279"/>
      <c r="I38" s="296">
        <f>I36+I33+I27</f>
        <v>1185000</v>
      </c>
    </row>
    <row r="39" spans="1:10" outlineLevel="1">
      <c r="B39" s="165" t="s">
        <v>162</v>
      </c>
      <c r="C39" s="168" t="s">
        <v>82</v>
      </c>
      <c r="D39" s="169"/>
      <c r="E39" s="194"/>
      <c r="F39" s="179"/>
      <c r="G39" s="180">
        <f>$J$3</f>
        <v>0.15</v>
      </c>
      <c r="H39" s="171"/>
      <c r="I39" s="175">
        <f>I38*G39</f>
        <v>177750</v>
      </c>
    </row>
    <row r="40" spans="1:10" outlineLevel="1">
      <c r="B40" s="165" t="s">
        <v>163</v>
      </c>
      <c r="C40" s="168" t="s">
        <v>164</v>
      </c>
      <c r="D40" s="169"/>
      <c r="E40" s="171"/>
      <c r="F40" s="279"/>
      <c r="G40" s="275"/>
      <c r="H40" s="279"/>
      <c r="I40" s="296">
        <f>I39+I38</f>
        <v>1362750</v>
      </c>
    </row>
    <row r="41" spans="1:10" outlineLevel="1">
      <c r="B41" s="184"/>
      <c r="D41" s="186"/>
      <c r="E41" s="186"/>
      <c r="F41" s="280"/>
      <c r="G41" s="718"/>
      <c r="H41" s="280"/>
      <c r="I41" s="331"/>
    </row>
    <row r="42" spans="1:10">
      <c r="B42" s="184"/>
      <c r="D42" s="186"/>
      <c r="E42" s="186"/>
      <c r="F42" s="186"/>
      <c r="G42" s="184"/>
      <c r="H42" s="186"/>
      <c r="I42" s="187"/>
    </row>
    <row r="43" spans="1:10" ht="20.399999999999999">
      <c r="A43" s="155"/>
      <c r="B43" s="571" t="s">
        <v>65</v>
      </c>
      <c r="C43" s="156"/>
      <c r="D43" s="156"/>
      <c r="E43" s="156"/>
      <c r="F43" s="156"/>
      <c r="G43" s="712"/>
      <c r="H43" s="157"/>
      <c r="I43" s="156"/>
      <c r="J43" s="158"/>
    </row>
    <row r="44" spans="1:10">
      <c r="A44" s="159" t="str">
        <f>B44</f>
        <v>A.2.3.1.1.</v>
      </c>
      <c r="B44" s="159" t="s">
        <v>83</v>
      </c>
      <c r="C44" s="160"/>
      <c r="D44" s="159" t="s">
        <v>165</v>
      </c>
      <c r="E44" s="159"/>
      <c r="F44" s="159"/>
      <c r="G44" s="163"/>
      <c r="H44" s="161"/>
      <c r="I44" s="160"/>
      <c r="J44" s="162">
        <f>I57</f>
        <v>109968.75</v>
      </c>
    </row>
    <row r="45" spans="1:10" ht="31.2" outlineLevel="1">
      <c r="A45" s="163"/>
      <c r="B45" s="164" t="s">
        <v>75</v>
      </c>
      <c r="C45" s="1254" t="s">
        <v>140</v>
      </c>
      <c r="D45" s="1255"/>
      <c r="E45" s="164" t="s">
        <v>141</v>
      </c>
      <c r="F45" s="164" t="s">
        <v>142</v>
      </c>
      <c r="G45" s="164" t="s">
        <v>143</v>
      </c>
      <c r="H45" s="165" t="s">
        <v>144</v>
      </c>
      <c r="I45" s="165" t="s">
        <v>145</v>
      </c>
      <c r="J45" s="166"/>
    </row>
    <row r="46" spans="1:10" outlineLevel="1">
      <c r="B46" s="165" t="s">
        <v>146</v>
      </c>
      <c r="C46" s="168" t="s">
        <v>147</v>
      </c>
      <c r="D46" s="169"/>
      <c r="E46" s="165"/>
      <c r="F46" s="165"/>
      <c r="G46" s="165"/>
      <c r="H46" s="171"/>
      <c r="I46" s="171"/>
    </row>
    <row r="47" spans="1:10" outlineLevel="1">
      <c r="B47" s="165"/>
      <c r="C47" s="168" t="s">
        <v>77</v>
      </c>
      <c r="D47" s="169"/>
      <c r="E47" s="165" t="s">
        <v>148</v>
      </c>
      <c r="F47" s="165" t="s">
        <v>76</v>
      </c>
      <c r="G47" s="165">
        <v>0.75</v>
      </c>
      <c r="H47" s="174">
        <f>VLOOKUP(C47,'UPAH-BAHAN'!D:F,2,0)</f>
        <v>120000</v>
      </c>
      <c r="I47" s="188">
        <f>G47*H47</f>
        <v>90000</v>
      </c>
    </row>
    <row r="48" spans="1:10" outlineLevel="1">
      <c r="B48" s="165"/>
      <c r="C48" s="168" t="s">
        <v>80</v>
      </c>
      <c r="D48" s="169"/>
      <c r="E48" s="165" t="s">
        <v>151</v>
      </c>
      <c r="F48" s="165" t="s">
        <v>76</v>
      </c>
      <c r="G48" s="165">
        <v>2.5000000000000001E-2</v>
      </c>
      <c r="H48" s="174">
        <f>VLOOKUP(C48,'UPAH-BAHAN'!D:F,2,0)</f>
        <v>225000</v>
      </c>
      <c r="I48" s="188">
        <f>G48*H48</f>
        <v>5625</v>
      </c>
    </row>
    <row r="49" spans="1:10" outlineLevel="1">
      <c r="B49" s="165"/>
      <c r="C49" s="168"/>
      <c r="D49" s="169"/>
      <c r="E49" s="165"/>
      <c r="F49" s="170"/>
      <c r="G49" s="340" t="s">
        <v>152</v>
      </c>
      <c r="H49" s="171"/>
      <c r="I49" s="188">
        <f>SUM(I47:I48)</f>
        <v>95625</v>
      </c>
    </row>
    <row r="50" spans="1:10" outlineLevel="1">
      <c r="B50" s="165" t="s">
        <v>153</v>
      </c>
      <c r="C50" s="168" t="s">
        <v>154</v>
      </c>
      <c r="D50" s="169"/>
      <c r="E50" s="165"/>
      <c r="F50" s="170"/>
      <c r="G50" s="165"/>
      <c r="H50" s="171"/>
      <c r="I50" s="171"/>
    </row>
    <row r="51" spans="1:10" outlineLevel="1">
      <c r="B51" s="165"/>
      <c r="C51" s="168"/>
      <c r="D51" s="169"/>
      <c r="E51" s="170"/>
      <c r="F51" s="170"/>
      <c r="G51" s="340" t="s">
        <v>156</v>
      </c>
      <c r="H51" s="171"/>
      <c r="I51" s="171"/>
    </row>
    <row r="52" spans="1:10" outlineLevel="1">
      <c r="B52" s="165" t="s">
        <v>157</v>
      </c>
      <c r="C52" s="168" t="s">
        <v>158</v>
      </c>
      <c r="D52" s="169"/>
      <c r="E52" s="170"/>
      <c r="F52" s="170"/>
      <c r="G52" s="165"/>
      <c r="H52" s="171"/>
      <c r="I52" s="171"/>
    </row>
    <row r="53" spans="1:10" outlineLevel="1">
      <c r="B53" s="165"/>
      <c r="C53" s="168"/>
      <c r="D53" s="169"/>
      <c r="E53" s="170"/>
      <c r="F53" s="170"/>
      <c r="G53" s="340" t="s">
        <v>159</v>
      </c>
      <c r="H53" s="171"/>
      <c r="I53" s="171"/>
    </row>
    <row r="54" spans="1:10" outlineLevel="1">
      <c r="B54" s="170"/>
      <c r="C54" s="168"/>
      <c r="D54" s="169"/>
      <c r="E54" s="170"/>
      <c r="F54" s="170"/>
      <c r="G54" s="170"/>
      <c r="H54" s="171"/>
      <c r="I54" s="171"/>
    </row>
    <row r="55" spans="1:10" outlineLevel="1">
      <c r="B55" s="165" t="s">
        <v>160</v>
      </c>
      <c r="C55" s="168" t="s">
        <v>161</v>
      </c>
      <c r="D55" s="169"/>
      <c r="E55" s="171"/>
      <c r="F55" s="171"/>
      <c r="G55" s="165"/>
      <c r="H55" s="171"/>
      <c r="I55" s="175">
        <f>I53+I51+I49</f>
        <v>95625</v>
      </c>
    </row>
    <row r="56" spans="1:10" outlineLevel="1">
      <c r="B56" s="165" t="s">
        <v>162</v>
      </c>
      <c r="C56" s="168" t="s">
        <v>82</v>
      </c>
      <c r="D56" s="169"/>
      <c r="E56" s="171"/>
      <c r="F56" s="165"/>
      <c r="G56" s="180">
        <f>$J$3</f>
        <v>0.15</v>
      </c>
      <c r="H56" s="171"/>
      <c r="I56" s="175">
        <f>I55*G56</f>
        <v>14343.75</v>
      </c>
    </row>
    <row r="57" spans="1:10" outlineLevel="1">
      <c r="B57" s="165" t="s">
        <v>163</v>
      </c>
      <c r="C57" s="168" t="s">
        <v>164</v>
      </c>
      <c r="D57" s="169"/>
      <c r="E57" s="171"/>
      <c r="F57" s="171"/>
      <c r="G57" s="165"/>
      <c r="H57" s="171"/>
      <c r="I57" s="175">
        <f>SUM(I55:I56)</f>
        <v>109968.75</v>
      </c>
    </row>
    <row r="58" spans="1:10" outlineLevel="1">
      <c r="B58" s="184"/>
      <c r="D58" s="186"/>
      <c r="E58" s="186"/>
      <c r="F58" s="186"/>
      <c r="G58" s="184"/>
      <c r="H58" s="186"/>
      <c r="I58" s="187"/>
    </row>
    <row r="59" spans="1:10">
      <c r="A59" s="167" t="str">
        <f>B59</f>
        <v>A.2.3.1.9.</v>
      </c>
      <c r="B59" s="159" t="s">
        <v>84</v>
      </c>
      <c r="D59" s="167" t="s">
        <v>166</v>
      </c>
      <c r="E59" s="163"/>
      <c r="F59" s="163"/>
      <c r="G59" s="163"/>
      <c r="J59" s="172">
        <f>I73</f>
        <v>81937.5</v>
      </c>
    </row>
    <row r="60" spans="1:10" ht="31.2" outlineLevel="1">
      <c r="A60" s="163"/>
      <c r="B60" s="164" t="s">
        <v>75</v>
      </c>
      <c r="C60" s="1254" t="s">
        <v>140</v>
      </c>
      <c r="D60" s="1255"/>
      <c r="E60" s="164" t="s">
        <v>141</v>
      </c>
      <c r="F60" s="164" t="s">
        <v>142</v>
      </c>
      <c r="G60" s="164" t="s">
        <v>143</v>
      </c>
      <c r="H60" s="165" t="s">
        <v>144</v>
      </c>
      <c r="I60" s="165" t="s">
        <v>145</v>
      </c>
      <c r="J60" s="166"/>
    </row>
    <row r="61" spans="1:10" outlineLevel="1">
      <c r="B61" s="165" t="s">
        <v>146</v>
      </c>
      <c r="C61" s="168" t="s">
        <v>147</v>
      </c>
      <c r="D61" s="169"/>
      <c r="E61" s="170"/>
      <c r="F61" s="170"/>
      <c r="G61" s="170"/>
      <c r="H61" s="171"/>
      <c r="I61" s="171"/>
    </row>
    <row r="62" spans="1:10" outlineLevel="1">
      <c r="B62" s="165"/>
      <c r="C62" s="168" t="s">
        <v>77</v>
      </c>
      <c r="D62" s="169"/>
      <c r="E62" s="165" t="s">
        <v>148</v>
      </c>
      <c r="F62" s="165" t="s">
        <v>76</v>
      </c>
      <c r="G62" s="165">
        <v>0.5</v>
      </c>
      <c r="H62" s="174">
        <f>VLOOKUP(C62,'UPAH-BAHAN'!D:F,2,0)</f>
        <v>120000</v>
      </c>
      <c r="I62" s="175">
        <f>H62*G62</f>
        <v>60000</v>
      </c>
    </row>
    <row r="63" spans="1:10" outlineLevel="1">
      <c r="B63" s="165"/>
      <c r="C63" s="168" t="s">
        <v>80</v>
      </c>
      <c r="D63" s="169"/>
      <c r="E63" s="165" t="s">
        <v>151</v>
      </c>
      <c r="F63" s="165" t="s">
        <v>76</v>
      </c>
      <c r="G63" s="165">
        <v>0.05</v>
      </c>
      <c r="H63" s="174">
        <f>VLOOKUP(C63,'UPAH-BAHAN'!D:F,2,0)</f>
        <v>225000</v>
      </c>
      <c r="I63" s="175">
        <f>H63*G63</f>
        <v>11250</v>
      </c>
    </row>
    <row r="64" spans="1:10" outlineLevel="1">
      <c r="B64" s="165"/>
      <c r="C64" s="168"/>
      <c r="D64" s="169"/>
      <c r="E64" s="170"/>
      <c r="F64" s="170"/>
      <c r="G64" s="340" t="s">
        <v>152</v>
      </c>
      <c r="H64" s="171"/>
      <c r="I64" s="175">
        <f>SUM(I62:I63)</f>
        <v>71250</v>
      </c>
    </row>
    <row r="65" spans="1:12" outlineLevel="1">
      <c r="B65" s="165" t="s">
        <v>153</v>
      </c>
      <c r="C65" s="168" t="s">
        <v>154</v>
      </c>
      <c r="D65" s="169"/>
      <c r="E65" s="170"/>
      <c r="F65" s="170"/>
      <c r="G65" s="170"/>
      <c r="H65" s="171"/>
      <c r="I65" s="175"/>
    </row>
    <row r="66" spans="1:12" outlineLevel="1">
      <c r="B66" s="165"/>
      <c r="C66" s="168"/>
      <c r="D66" s="169"/>
      <c r="E66" s="170"/>
      <c r="F66" s="170"/>
      <c r="G66" s="170"/>
      <c r="H66" s="171"/>
      <c r="I66" s="175">
        <f>H66</f>
        <v>0</v>
      </c>
    </row>
    <row r="67" spans="1:12" outlineLevel="1">
      <c r="B67" s="165"/>
      <c r="C67" s="168"/>
      <c r="D67" s="169"/>
      <c r="E67" s="170"/>
      <c r="F67" s="170"/>
      <c r="G67" s="340" t="s">
        <v>156</v>
      </c>
      <c r="H67" s="190"/>
      <c r="I67" s="175">
        <f>I66</f>
        <v>0</v>
      </c>
    </row>
    <row r="68" spans="1:12" outlineLevel="1">
      <c r="B68" s="165" t="s">
        <v>157</v>
      </c>
      <c r="C68" s="168" t="s">
        <v>158</v>
      </c>
      <c r="D68" s="169"/>
      <c r="E68" s="170"/>
      <c r="F68" s="170"/>
      <c r="G68" s="170"/>
      <c r="H68" s="171"/>
      <c r="I68" s="175"/>
    </row>
    <row r="69" spans="1:12" outlineLevel="1">
      <c r="B69" s="165"/>
      <c r="C69" s="168"/>
      <c r="D69" s="169"/>
      <c r="E69" s="170"/>
      <c r="F69" s="170"/>
      <c r="G69" s="170"/>
      <c r="H69" s="171"/>
      <c r="I69" s="175">
        <f>H69</f>
        <v>0</v>
      </c>
    </row>
    <row r="70" spans="1:12" outlineLevel="1">
      <c r="B70" s="165"/>
      <c r="C70" s="168"/>
      <c r="D70" s="169"/>
      <c r="E70" s="170"/>
      <c r="F70" s="170"/>
      <c r="G70" s="340" t="s">
        <v>159</v>
      </c>
      <c r="H70" s="171"/>
      <c r="I70" s="175">
        <f>I69</f>
        <v>0</v>
      </c>
    </row>
    <row r="71" spans="1:12" outlineLevel="1">
      <c r="B71" s="165" t="s">
        <v>160</v>
      </c>
      <c r="C71" s="168" t="s">
        <v>161</v>
      </c>
      <c r="D71" s="169"/>
      <c r="E71" s="171"/>
      <c r="F71" s="171"/>
      <c r="G71" s="165"/>
      <c r="H71" s="171"/>
      <c r="I71" s="175">
        <f>I70+I67+I64</f>
        <v>71250</v>
      </c>
    </row>
    <row r="72" spans="1:12" outlineLevel="1">
      <c r="B72" s="165" t="s">
        <v>162</v>
      </c>
      <c r="C72" s="168" t="s">
        <v>82</v>
      </c>
      <c r="D72" s="169"/>
      <c r="E72" s="194"/>
      <c r="F72" s="179"/>
      <c r="G72" s="180">
        <f>$J$3</f>
        <v>0.15</v>
      </c>
      <c r="H72" s="171"/>
      <c r="I72" s="175">
        <f>I71*G72</f>
        <v>10687.5</v>
      </c>
    </row>
    <row r="73" spans="1:12" outlineLevel="1">
      <c r="B73" s="165" t="s">
        <v>163</v>
      </c>
      <c r="C73" s="168" t="s">
        <v>164</v>
      </c>
      <c r="D73" s="169"/>
      <c r="E73" s="194"/>
      <c r="F73" s="171"/>
      <c r="G73" s="165"/>
      <c r="H73" s="171"/>
      <c r="I73" s="175">
        <f>SUM(I71:I72)</f>
        <v>81937.5</v>
      </c>
    </row>
    <row r="74" spans="1:12" outlineLevel="1">
      <c r="B74" s="184"/>
      <c r="D74" s="186"/>
      <c r="E74" s="749"/>
      <c r="F74" s="186"/>
      <c r="G74" s="184"/>
      <c r="H74" s="186"/>
      <c r="I74" s="187"/>
    </row>
    <row r="75" spans="1:12" s="191" customFormat="1">
      <c r="A75" s="167" t="str">
        <f>B75</f>
        <v>A.2.3.1.10.</v>
      </c>
      <c r="B75" s="159" t="s">
        <v>210</v>
      </c>
      <c r="C75" s="185"/>
      <c r="D75" s="167" t="s">
        <v>211</v>
      </c>
      <c r="E75" s="163"/>
      <c r="F75" s="163"/>
      <c r="G75" s="163"/>
      <c r="H75" s="189"/>
      <c r="I75" s="185"/>
      <c r="J75" s="172">
        <f>I89</f>
        <v>209587.5</v>
      </c>
      <c r="L75" s="757"/>
    </row>
    <row r="76" spans="1:12" s="191" customFormat="1" ht="31.2" outlineLevel="1">
      <c r="A76" s="163"/>
      <c r="B76" s="164" t="s">
        <v>75</v>
      </c>
      <c r="C76" s="1254" t="s">
        <v>140</v>
      </c>
      <c r="D76" s="1255"/>
      <c r="E76" s="164" t="s">
        <v>141</v>
      </c>
      <c r="F76" s="164" t="s">
        <v>142</v>
      </c>
      <c r="G76" s="164" t="s">
        <v>143</v>
      </c>
      <c r="H76" s="165" t="s">
        <v>144</v>
      </c>
      <c r="I76" s="165" t="s">
        <v>145</v>
      </c>
      <c r="J76" s="166"/>
      <c r="L76" s="757"/>
    </row>
    <row r="77" spans="1:12" s="191" customFormat="1" outlineLevel="1">
      <c r="A77" s="167"/>
      <c r="B77" s="165" t="s">
        <v>146</v>
      </c>
      <c r="C77" s="168" t="s">
        <v>147</v>
      </c>
      <c r="D77" s="169"/>
      <c r="E77" s="165"/>
      <c r="F77" s="165"/>
      <c r="G77" s="165"/>
      <c r="H77" s="175"/>
      <c r="I77" s="171"/>
      <c r="J77" s="172"/>
      <c r="L77" s="757"/>
    </row>
    <row r="78" spans="1:12" s="191" customFormat="1" outlineLevel="1">
      <c r="A78" s="167"/>
      <c r="B78" s="165"/>
      <c r="C78" s="168" t="s">
        <v>77</v>
      </c>
      <c r="D78" s="169"/>
      <c r="E78" s="165" t="s">
        <v>148</v>
      </c>
      <c r="F78" s="165" t="s">
        <v>76</v>
      </c>
      <c r="G78" s="173">
        <v>0.3</v>
      </c>
      <c r="H78" s="175">
        <f>VLOOKUP(C78,'UPAH-BAHAN'!D:F,2,0)</f>
        <v>120000</v>
      </c>
      <c r="I78" s="192">
        <f>H78*G78</f>
        <v>36000</v>
      </c>
      <c r="J78" s="172"/>
      <c r="L78" s="757"/>
    </row>
    <row r="79" spans="1:12" s="191" customFormat="1" outlineLevel="1">
      <c r="A79" s="167"/>
      <c r="B79" s="165"/>
      <c r="C79" s="168" t="s">
        <v>80</v>
      </c>
      <c r="D79" s="169"/>
      <c r="E79" s="165" t="s">
        <v>151</v>
      </c>
      <c r="F79" s="165" t="s">
        <v>76</v>
      </c>
      <c r="G79" s="173">
        <v>0.01</v>
      </c>
      <c r="H79" s="175">
        <f>VLOOKUP(C79,'UPAH-BAHAN'!D:F,2,0)</f>
        <v>225000</v>
      </c>
      <c r="I79" s="192">
        <f>H79*G79</f>
        <v>2250</v>
      </c>
      <c r="J79" s="172"/>
      <c r="L79" s="757"/>
    </row>
    <row r="80" spans="1:12" s="191" customFormat="1" outlineLevel="1">
      <c r="A80" s="167"/>
      <c r="B80" s="165"/>
      <c r="C80" s="168"/>
      <c r="D80" s="169"/>
      <c r="E80" s="170"/>
      <c r="F80" s="170"/>
      <c r="G80" s="340" t="s">
        <v>152</v>
      </c>
      <c r="H80" s="175"/>
      <c r="I80" s="192">
        <f>SUM(I78:I79)</f>
        <v>38250</v>
      </c>
      <c r="J80" s="172"/>
      <c r="L80" s="757"/>
    </row>
    <row r="81" spans="1:12" s="191" customFormat="1" outlineLevel="1">
      <c r="A81" s="167"/>
      <c r="B81" s="165" t="s">
        <v>153</v>
      </c>
      <c r="C81" s="168" t="s">
        <v>154</v>
      </c>
      <c r="D81" s="169"/>
      <c r="E81" s="170"/>
      <c r="F81" s="170"/>
      <c r="G81" s="170"/>
      <c r="H81" s="175"/>
      <c r="I81" s="192"/>
      <c r="J81" s="172"/>
      <c r="L81" s="757"/>
    </row>
    <row r="82" spans="1:12" s="191" customFormat="1" outlineLevel="1">
      <c r="A82" s="167"/>
      <c r="B82" s="165"/>
      <c r="C82" s="168" t="s">
        <v>212</v>
      </c>
      <c r="D82" s="169"/>
      <c r="E82" s="170"/>
      <c r="F82" s="170"/>
      <c r="G82" s="193">
        <v>1.2</v>
      </c>
      <c r="H82" s="175">
        <f>VLOOKUP(C82,'UPAH-BAHAN'!D:F,2,0)</f>
        <v>120000</v>
      </c>
      <c r="I82" s="192">
        <f>G82*H82</f>
        <v>144000</v>
      </c>
      <c r="J82" s="172"/>
      <c r="L82" s="757"/>
    </row>
    <row r="83" spans="1:12" s="191" customFormat="1" outlineLevel="1">
      <c r="A83" s="167"/>
      <c r="B83" s="165"/>
      <c r="C83" s="168"/>
      <c r="D83" s="169"/>
      <c r="E83" s="170"/>
      <c r="F83" s="170"/>
      <c r="G83" s="340" t="s">
        <v>156</v>
      </c>
      <c r="H83" s="175"/>
      <c r="I83" s="192">
        <f>I82</f>
        <v>144000</v>
      </c>
      <c r="J83" s="172"/>
      <c r="L83" s="757"/>
    </row>
    <row r="84" spans="1:12" s="191" customFormat="1" outlineLevel="1">
      <c r="A84" s="167"/>
      <c r="B84" s="165" t="s">
        <v>157</v>
      </c>
      <c r="C84" s="168" t="s">
        <v>158</v>
      </c>
      <c r="D84" s="169"/>
      <c r="E84" s="170"/>
      <c r="F84" s="170"/>
      <c r="G84" s="170"/>
      <c r="H84" s="175"/>
      <c r="I84" s="192"/>
      <c r="J84" s="172"/>
      <c r="L84" s="757"/>
    </row>
    <row r="85" spans="1:12" s="191" customFormat="1" outlineLevel="1">
      <c r="A85" s="167"/>
      <c r="B85" s="165"/>
      <c r="C85" s="168"/>
      <c r="D85" s="169"/>
      <c r="E85" s="170"/>
      <c r="F85" s="170"/>
      <c r="G85" s="170"/>
      <c r="H85" s="175"/>
      <c r="I85" s="192"/>
      <c r="J85" s="172"/>
      <c r="L85" s="757"/>
    </row>
    <row r="86" spans="1:12" s="191" customFormat="1" outlineLevel="1">
      <c r="A86" s="167"/>
      <c r="B86" s="165"/>
      <c r="C86" s="168"/>
      <c r="D86" s="169"/>
      <c r="E86" s="170"/>
      <c r="F86" s="170"/>
      <c r="G86" s="340" t="s">
        <v>159</v>
      </c>
      <c r="H86" s="175"/>
      <c r="I86" s="192">
        <f>I85</f>
        <v>0</v>
      </c>
      <c r="J86" s="172"/>
      <c r="L86" s="757"/>
    </row>
    <row r="87" spans="1:12" s="191" customFormat="1" outlineLevel="1">
      <c r="A87" s="167"/>
      <c r="B87" s="165" t="s">
        <v>160</v>
      </c>
      <c r="C87" s="168" t="s">
        <v>161</v>
      </c>
      <c r="D87" s="169"/>
      <c r="E87" s="171"/>
      <c r="F87" s="171"/>
      <c r="G87" s="165"/>
      <c r="H87" s="175"/>
      <c r="I87" s="192">
        <f>I80+I83+I86</f>
        <v>182250</v>
      </c>
      <c r="J87" s="172"/>
      <c r="L87" s="757"/>
    </row>
    <row r="88" spans="1:12" s="191" customFormat="1" outlineLevel="1">
      <c r="A88" s="167"/>
      <c r="B88" s="165" t="s">
        <v>162</v>
      </c>
      <c r="C88" s="168" t="s">
        <v>82</v>
      </c>
      <c r="D88" s="169"/>
      <c r="E88" s="194"/>
      <c r="F88" s="194"/>
      <c r="G88" s="180">
        <f>$J$3</f>
        <v>0.15</v>
      </c>
      <c r="H88" s="171"/>
      <c r="I88" s="175">
        <f>I87*G88</f>
        <v>27337.5</v>
      </c>
      <c r="J88" s="172"/>
      <c r="L88" s="757"/>
    </row>
    <row r="89" spans="1:12" s="191" customFormat="1" outlineLevel="1">
      <c r="A89" s="167"/>
      <c r="B89" s="165" t="s">
        <v>163</v>
      </c>
      <c r="C89" s="168" t="s">
        <v>164</v>
      </c>
      <c r="D89" s="169"/>
      <c r="E89" s="171"/>
      <c r="F89" s="171"/>
      <c r="G89" s="165"/>
      <c r="H89" s="175"/>
      <c r="I89" s="192">
        <f>I87+I88</f>
        <v>209587.5</v>
      </c>
      <c r="J89" s="172"/>
      <c r="L89" s="757"/>
    </row>
    <row r="90" spans="1:12" s="191" customFormat="1" outlineLevel="1">
      <c r="A90" s="195"/>
      <c r="B90" s="196"/>
      <c r="C90" s="197"/>
      <c r="D90" s="198"/>
      <c r="E90" s="186"/>
      <c r="F90" s="198"/>
      <c r="G90" s="196"/>
      <c r="H90" s="199"/>
      <c r="I90" s="200"/>
      <c r="J90" s="201"/>
      <c r="L90" s="757"/>
    </row>
    <row r="91" spans="1:12" s="191" customFormat="1">
      <c r="A91" s="167" t="str">
        <f>B91</f>
        <v>A.2.3.1.11.</v>
      </c>
      <c r="B91" s="159" t="s">
        <v>85</v>
      </c>
      <c r="C91" s="185"/>
      <c r="D91" s="167" t="s">
        <v>167</v>
      </c>
      <c r="E91" s="163"/>
      <c r="F91" s="163"/>
      <c r="G91" s="163"/>
      <c r="H91" s="189"/>
      <c r="I91" s="185"/>
      <c r="J91" s="172">
        <f>I105</f>
        <v>209587.5</v>
      </c>
      <c r="L91" s="757"/>
    </row>
    <row r="92" spans="1:12" s="191" customFormat="1" ht="31.2" outlineLevel="1">
      <c r="A92" s="163"/>
      <c r="B92" s="164" t="s">
        <v>75</v>
      </c>
      <c r="C92" s="1254" t="s">
        <v>140</v>
      </c>
      <c r="D92" s="1255"/>
      <c r="E92" s="164" t="s">
        <v>141</v>
      </c>
      <c r="F92" s="164" t="s">
        <v>142</v>
      </c>
      <c r="G92" s="164" t="s">
        <v>143</v>
      </c>
      <c r="H92" s="165" t="s">
        <v>144</v>
      </c>
      <c r="I92" s="165" t="s">
        <v>145</v>
      </c>
      <c r="J92" s="166"/>
      <c r="L92" s="757"/>
    </row>
    <row r="93" spans="1:12" s="191" customFormat="1" outlineLevel="1">
      <c r="A93" s="167"/>
      <c r="B93" s="165" t="s">
        <v>146</v>
      </c>
      <c r="C93" s="168" t="s">
        <v>147</v>
      </c>
      <c r="D93" s="169"/>
      <c r="E93" s="165"/>
      <c r="F93" s="165"/>
      <c r="G93" s="165"/>
      <c r="H93" s="175"/>
      <c r="I93" s="171"/>
      <c r="J93" s="172"/>
      <c r="L93" s="757"/>
    </row>
    <row r="94" spans="1:12" s="191" customFormat="1" outlineLevel="1">
      <c r="A94" s="167"/>
      <c r="B94" s="165"/>
      <c r="C94" s="168" t="s">
        <v>77</v>
      </c>
      <c r="D94" s="169"/>
      <c r="E94" s="165" t="s">
        <v>148</v>
      </c>
      <c r="F94" s="165" t="s">
        <v>76</v>
      </c>
      <c r="G94" s="173">
        <v>0.3</v>
      </c>
      <c r="H94" s="175">
        <f>VLOOKUP(C94,'UPAH-BAHAN'!D:F,2,0)</f>
        <v>120000</v>
      </c>
      <c r="I94" s="192">
        <f>H94*G94</f>
        <v>36000</v>
      </c>
      <c r="J94" s="172"/>
      <c r="L94" s="757"/>
    </row>
    <row r="95" spans="1:12" s="191" customFormat="1" outlineLevel="1">
      <c r="A95" s="167"/>
      <c r="B95" s="165"/>
      <c r="C95" s="168" t="s">
        <v>80</v>
      </c>
      <c r="D95" s="169"/>
      <c r="E95" s="165" t="s">
        <v>151</v>
      </c>
      <c r="F95" s="165" t="s">
        <v>76</v>
      </c>
      <c r="G95" s="173">
        <v>0.01</v>
      </c>
      <c r="H95" s="175">
        <f>VLOOKUP(C95,'UPAH-BAHAN'!D:F,2,0)</f>
        <v>225000</v>
      </c>
      <c r="I95" s="192">
        <f>H95*G95</f>
        <v>2250</v>
      </c>
      <c r="J95" s="172"/>
      <c r="L95" s="757"/>
    </row>
    <row r="96" spans="1:12" s="191" customFormat="1" outlineLevel="1">
      <c r="A96" s="167"/>
      <c r="B96" s="165"/>
      <c r="C96" s="168"/>
      <c r="D96" s="169"/>
      <c r="E96" s="170"/>
      <c r="F96" s="170"/>
      <c r="G96" s="340" t="s">
        <v>152</v>
      </c>
      <c r="H96" s="175"/>
      <c r="I96" s="192">
        <f>SUM(I94:I95)</f>
        <v>38250</v>
      </c>
      <c r="J96" s="172"/>
      <c r="L96" s="757"/>
    </row>
    <row r="97" spans="1:12" s="191" customFormat="1" outlineLevel="1">
      <c r="A97" s="167"/>
      <c r="B97" s="165" t="s">
        <v>153</v>
      </c>
      <c r="C97" s="168" t="s">
        <v>154</v>
      </c>
      <c r="D97" s="169"/>
      <c r="E97" s="170"/>
      <c r="F97" s="170"/>
      <c r="G97" s="170"/>
      <c r="H97" s="175"/>
      <c r="I97" s="192"/>
      <c r="J97" s="172"/>
      <c r="L97" s="757"/>
    </row>
    <row r="98" spans="1:12" s="191" customFormat="1" outlineLevel="1">
      <c r="A98" s="167"/>
      <c r="B98" s="165"/>
      <c r="C98" s="168" t="s">
        <v>168</v>
      </c>
      <c r="D98" s="169"/>
      <c r="E98" s="170"/>
      <c r="F98" s="170"/>
      <c r="G98" s="193">
        <v>1.2</v>
      </c>
      <c r="H98" s="175">
        <f>VLOOKUP(C98,'UPAH-BAHAN'!D:F,2,0)</f>
        <v>120000</v>
      </c>
      <c r="I98" s="192">
        <f>G98*H98</f>
        <v>144000</v>
      </c>
      <c r="J98" s="172"/>
      <c r="L98" s="757"/>
    </row>
    <row r="99" spans="1:12" s="191" customFormat="1" outlineLevel="1">
      <c r="A99" s="167"/>
      <c r="B99" s="165"/>
      <c r="C99" s="168"/>
      <c r="D99" s="169"/>
      <c r="E99" s="170"/>
      <c r="F99" s="170"/>
      <c r="G99" s="340" t="s">
        <v>156</v>
      </c>
      <c r="H99" s="175"/>
      <c r="I99" s="192">
        <f>I98</f>
        <v>144000</v>
      </c>
      <c r="J99" s="172"/>
      <c r="L99" s="757"/>
    </row>
    <row r="100" spans="1:12" s="191" customFormat="1" outlineLevel="1">
      <c r="A100" s="167"/>
      <c r="B100" s="165" t="s">
        <v>157</v>
      </c>
      <c r="C100" s="168" t="s">
        <v>158</v>
      </c>
      <c r="D100" s="169"/>
      <c r="E100" s="170"/>
      <c r="F100" s="170"/>
      <c r="G100" s="170"/>
      <c r="H100" s="175"/>
      <c r="I100" s="192"/>
      <c r="J100" s="172"/>
      <c r="L100" s="757"/>
    </row>
    <row r="101" spans="1:12" s="191" customFormat="1" outlineLevel="1">
      <c r="A101" s="167"/>
      <c r="B101" s="165"/>
      <c r="C101" s="168"/>
      <c r="D101" s="169"/>
      <c r="E101" s="170"/>
      <c r="F101" s="170"/>
      <c r="G101" s="170"/>
      <c r="H101" s="175"/>
      <c r="I101" s="192"/>
      <c r="J101" s="172"/>
      <c r="L101" s="757"/>
    </row>
    <row r="102" spans="1:12" s="191" customFormat="1" outlineLevel="1">
      <c r="A102" s="167"/>
      <c r="B102" s="165"/>
      <c r="C102" s="168"/>
      <c r="D102" s="169"/>
      <c r="E102" s="170"/>
      <c r="F102" s="170"/>
      <c r="G102" s="340" t="s">
        <v>159</v>
      </c>
      <c r="H102" s="175"/>
      <c r="I102" s="192">
        <f>I101</f>
        <v>0</v>
      </c>
      <c r="J102" s="172"/>
      <c r="L102" s="757"/>
    </row>
    <row r="103" spans="1:12" s="191" customFormat="1" outlineLevel="1">
      <c r="A103" s="167"/>
      <c r="B103" s="165" t="s">
        <v>160</v>
      </c>
      <c r="C103" s="168" t="s">
        <v>161</v>
      </c>
      <c r="D103" s="169"/>
      <c r="E103" s="171"/>
      <c r="F103" s="171"/>
      <c r="G103" s="165"/>
      <c r="H103" s="175"/>
      <c r="I103" s="192">
        <f>I96+I99+I102</f>
        <v>182250</v>
      </c>
      <c r="J103" s="172"/>
      <c r="L103" s="757"/>
    </row>
    <row r="104" spans="1:12" s="191" customFormat="1" outlineLevel="1">
      <c r="A104" s="167"/>
      <c r="B104" s="165" t="s">
        <v>162</v>
      </c>
      <c r="C104" s="168" t="s">
        <v>82</v>
      </c>
      <c r="D104" s="169"/>
      <c r="E104" s="194"/>
      <c r="F104" s="194"/>
      <c r="G104" s="180">
        <f>$J$3</f>
        <v>0.15</v>
      </c>
      <c r="H104" s="171"/>
      <c r="I104" s="175">
        <f>I103*G104</f>
        <v>27337.5</v>
      </c>
      <c r="J104" s="172"/>
      <c r="L104" s="757"/>
    </row>
    <row r="105" spans="1:12" s="191" customFormat="1" outlineLevel="1">
      <c r="A105" s="167"/>
      <c r="B105" s="165" t="s">
        <v>163</v>
      </c>
      <c r="C105" s="168" t="s">
        <v>164</v>
      </c>
      <c r="D105" s="169"/>
      <c r="E105" s="171"/>
      <c r="F105" s="171"/>
      <c r="G105" s="165"/>
      <c r="H105" s="175"/>
      <c r="I105" s="192">
        <f>I103+I104</f>
        <v>209587.5</v>
      </c>
      <c r="J105" s="172"/>
      <c r="L105" s="757"/>
    </row>
    <row r="106" spans="1:12" s="191" customFormat="1" outlineLevel="1">
      <c r="A106" s="167"/>
      <c r="B106" s="184"/>
      <c r="C106" s="185"/>
      <c r="D106" s="186"/>
      <c r="E106" s="186"/>
      <c r="F106" s="186"/>
      <c r="G106" s="184"/>
      <c r="H106" s="187"/>
      <c r="I106" s="226"/>
      <c r="J106" s="172"/>
      <c r="L106" s="757"/>
    </row>
    <row r="107" spans="1:12" s="191" customFormat="1">
      <c r="A107" s="195"/>
      <c r="B107" s="196"/>
      <c r="C107" s="197"/>
      <c r="D107" s="198"/>
      <c r="E107" s="186"/>
      <c r="F107" s="198"/>
      <c r="G107" s="196"/>
      <c r="H107" s="199"/>
      <c r="I107" s="200"/>
      <c r="J107" s="201"/>
      <c r="L107" s="757"/>
    </row>
    <row r="108" spans="1:12" ht="20.399999999999999">
      <c r="A108" s="155"/>
      <c r="B108" s="571" t="s">
        <v>56</v>
      </c>
      <c r="C108" s="156"/>
      <c r="D108" s="156"/>
      <c r="E108" s="156"/>
      <c r="F108" s="156"/>
      <c r="G108" s="712"/>
      <c r="H108" s="157"/>
      <c r="I108" s="156"/>
      <c r="J108" s="158"/>
    </row>
    <row r="109" spans="1:12">
      <c r="A109" s="159" t="str">
        <f>B109</f>
        <v>A.3.2.1.1.</v>
      </c>
      <c r="B109" s="167" t="s">
        <v>203</v>
      </c>
      <c r="C109" s="160"/>
      <c r="D109" s="159" t="s">
        <v>232</v>
      </c>
      <c r="E109" s="160"/>
      <c r="F109" s="160"/>
      <c r="H109" s="161"/>
      <c r="I109" s="160"/>
      <c r="J109" s="162">
        <f>I127</f>
        <v>1478641.25</v>
      </c>
    </row>
    <row r="110" spans="1:12" ht="31.2" outlineLevel="1">
      <c r="A110" s="163"/>
      <c r="B110" s="164" t="s">
        <v>75</v>
      </c>
      <c r="C110" s="1254" t="s">
        <v>140</v>
      </c>
      <c r="D110" s="1255"/>
      <c r="E110" s="164" t="s">
        <v>141</v>
      </c>
      <c r="F110" s="164" t="s">
        <v>142</v>
      </c>
      <c r="G110" s="164" t="s">
        <v>143</v>
      </c>
      <c r="H110" s="165" t="s">
        <v>144</v>
      </c>
      <c r="I110" s="165" t="s">
        <v>145</v>
      </c>
      <c r="J110" s="166"/>
    </row>
    <row r="111" spans="1:12" outlineLevel="1">
      <c r="B111" s="165" t="s">
        <v>146</v>
      </c>
      <c r="C111" s="168" t="s">
        <v>147</v>
      </c>
      <c r="D111" s="202"/>
      <c r="E111" s="165"/>
      <c r="F111" s="165"/>
      <c r="G111" s="165"/>
      <c r="H111" s="171"/>
      <c r="I111" s="171"/>
    </row>
    <row r="112" spans="1:12" outlineLevel="1">
      <c r="B112" s="165"/>
      <c r="C112" s="168" t="s">
        <v>77</v>
      </c>
      <c r="D112" s="202"/>
      <c r="E112" s="165" t="s">
        <v>148</v>
      </c>
      <c r="F112" s="165" t="s">
        <v>76</v>
      </c>
      <c r="G112" s="203">
        <v>1.5</v>
      </c>
      <c r="H112" s="174">
        <f>VLOOKUP(C112,'UPAH-BAHAN'!D:F,2,0)</f>
        <v>120000</v>
      </c>
      <c r="I112" s="174">
        <f>G112*H112</f>
        <v>180000</v>
      </c>
    </row>
    <row r="113" spans="2:9" outlineLevel="1">
      <c r="B113" s="165"/>
      <c r="C113" s="168" t="s">
        <v>86</v>
      </c>
      <c r="D113" s="202"/>
      <c r="E113" s="165" t="s">
        <v>149</v>
      </c>
      <c r="F113" s="165" t="s">
        <v>76</v>
      </c>
      <c r="G113" s="203">
        <v>0.75</v>
      </c>
      <c r="H113" s="174">
        <f>VLOOKUP(C113,'UPAH-BAHAN'!D:F,2,0)</f>
        <v>160000</v>
      </c>
      <c r="I113" s="174">
        <f>G113*H113</f>
        <v>120000</v>
      </c>
    </row>
    <row r="114" spans="2:9" outlineLevel="1">
      <c r="B114" s="165"/>
      <c r="C114" s="168" t="s">
        <v>79</v>
      </c>
      <c r="D114" s="202"/>
      <c r="E114" s="165" t="s">
        <v>150</v>
      </c>
      <c r="F114" s="165" t="s">
        <v>76</v>
      </c>
      <c r="G114" s="203">
        <v>7.4999999999999997E-2</v>
      </c>
      <c r="H114" s="174">
        <f>VLOOKUP(C114,'UPAH-BAHAN'!D:F,2,0)</f>
        <v>170000</v>
      </c>
      <c r="I114" s="174">
        <f>G114*H114</f>
        <v>12750</v>
      </c>
    </row>
    <row r="115" spans="2:9" outlineLevel="1">
      <c r="B115" s="165"/>
      <c r="C115" s="168" t="s">
        <v>80</v>
      </c>
      <c r="D115" s="202"/>
      <c r="E115" s="165" t="s">
        <v>151</v>
      </c>
      <c r="F115" s="165" t="s">
        <v>76</v>
      </c>
      <c r="G115" s="203">
        <v>7.4999999999999997E-2</v>
      </c>
      <c r="H115" s="174">
        <f>VLOOKUP(C115,'UPAH-BAHAN'!D:F,2,0)</f>
        <v>225000</v>
      </c>
      <c r="I115" s="174">
        <f>G115*H115</f>
        <v>16875</v>
      </c>
    </row>
    <row r="116" spans="2:9" outlineLevel="1">
      <c r="B116" s="165"/>
      <c r="C116" s="168"/>
      <c r="D116" s="202"/>
      <c r="E116" s="170"/>
      <c r="F116" s="170"/>
      <c r="G116" s="340" t="s">
        <v>152</v>
      </c>
      <c r="H116" s="174"/>
      <c r="I116" s="174">
        <f>SUM(I112:I115)</f>
        <v>329625</v>
      </c>
    </row>
    <row r="117" spans="2:9" outlineLevel="1">
      <c r="B117" s="165" t="s">
        <v>153</v>
      </c>
      <c r="C117" s="168" t="s">
        <v>154</v>
      </c>
      <c r="D117" s="202"/>
      <c r="E117" s="170"/>
      <c r="F117" s="170"/>
      <c r="G117" s="170"/>
      <c r="H117" s="174"/>
      <c r="I117" s="174"/>
    </row>
    <row r="118" spans="2:9" ht="18" outlineLevel="1">
      <c r="B118" s="165"/>
      <c r="C118" s="168" t="s">
        <v>231</v>
      </c>
      <c r="D118" s="202"/>
      <c r="E118" s="170"/>
      <c r="F118" s="165" t="s">
        <v>337</v>
      </c>
      <c r="G118" s="203">
        <v>1.2</v>
      </c>
      <c r="H118" s="174">
        <f>VLOOKUP(C118,'UPAH-BAHAN'!D:F,2,0)</f>
        <v>450000</v>
      </c>
      <c r="I118" s="174">
        <f>G118*H118</f>
        <v>540000</v>
      </c>
    </row>
    <row r="119" spans="2:9" outlineLevel="1">
      <c r="B119" s="165"/>
      <c r="C119" s="168" t="s">
        <v>87</v>
      </c>
      <c r="D119" s="202"/>
      <c r="E119" s="170"/>
      <c r="F119" s="165" t="s">
        <v>69</v>
      </c>
      <c r="G119" s="203">
        <v>202</v>
      </c>
      <c r="H119" s="174">
        <f>VLOOKUP(C119,'UPAH-BAHAN'!D:F,2,0)</f>
        <v>1700</v>
      </c>
      <c r="I119" s="174">
        <f>G119*H119</f>
        <v>343400</v>
      </c>
    </row>
    <row r="120" spans="2:9" ht="18" outlineLevel="1">
      <c r="B120" s="165"/>
      <c r="C120" s="168" t="s">
        <v>88</v>
      </c>
      <c r="D120" s="202"/>
      <c r="E120" s="170"/>
      <c r="F120" s="165" t="s">
        <v>337</v>
      </c>
      <c r="G120" s="203">
        <v>0.48499999999999999</v>
      </c>
      <c r="H120" s="174">
        <f>VLOOKUP(C120,'UPAH-BAHAN'!D:F,2,0)</f>
        <v>150000</v>
      </c>
      <c r="I120" s="174">
        <f>G120*H120</f>
        <v>72750</v>
      </c>
    </row>
    <row r="121" spans="2:9" outlineLevel="1">
      <c r="B121" s="165"/>
      <c r="C121" s="168"/>
      <c r="D121" s="202"/>
      <c r="E121" s="170"/>
      <c r="F121" s="170"/>
      <c r="G121" s="340" t="s">
        <v>156</v>
      </c>
      <c r="H121" s="174"/>
      <c r="I121" s="174">
        <f>SUM(I118:I120)</f>
        <v>956150</v>
      </c>
    </row>
    <row r="122" spans="2:9" outlineLevel="1">
      <c r="B122" s="165" t="s">
        <v>157</v>
      </c>
      <c r="C122" s="168" t="s">
        <v>158</v>
      </c>
      <c r="D122" s="202"/>
      <c r="E122" s="170"/>
      <c r="F122" s="170"/>
      <c r="G122" s="170"/>
      <c r="H122" s="174"/>
      <c r="I122" s="174"/>
    </row>
    <row r="123" spans="2:9" outlineLevel="1">
      <c r="B123" s="165"/>
      <c r="C123" s="168"/>
      <c r="D123" s="202"/>
      <c r="E123" s="170"/>
      <c r="F123" s="170"/>
      <c r="G123" s="340" t="s">
        <v>159</v>
      </c>
      <c r="H123" s="174"/>
      <c r="I123" s="174"/>
    </row>
    <row r="124" spans="2:9" outlineLevel="1">
      <c r="B124" s="170"/>
      <c r="C124" s="168"/>
      <c r="D124" s="202"/>
      <c r="E124" s="170"/>
      <c r="F124" s="170"/>
      <c r="G124" s="170"/>
      <c r="H124" s="174"/>
      <c r="I124" s="174"/>
    </row>
    <row r="125" spans="2:9" outlineLevel="1">
      <c r="B125" s="165" t="s">
        <v>160</v>
      </c>
      <c r="C125" s="168" t="s">
        <v>161</v>
      </c>
      <c r="D125" s="169"/>
      <c r="E125" s="171"/>
      <c r="F125" s="171"/>
      <c r="G125" s="165"/>
      <c r="H125" s="174"/>
      <c r="I125" s="174">
        <f>I123+I121+I116</f>
        <v>1285775</v>
      </c>
    </row>
    <row r="126" spans="2:9" outlineLevel="1">
      <c r="B126" s="165" t="s">
        <v>162</v>
      </c>
      <c r="C126" s="168" t="s">
        <v>82</v>
      </c>
      <c r="D126" s="169"/>
      <c r="E126" s="171"/>
      <c r="F126" s="165"/>
      <c r="G126" s="180">
        <f>$J$3</f>
        <v>0.15</v>
      </c>
      <c r="H126" s="171"/>
      <c r="I126" s="175">
        <f>I125*G126</f>
        <v>192866.25</v>
      </c>
    </row>
    <row r="127" spans="2:9" outlineLevel="1">
      <c r="B127" s="165" t="s">
        <v>163</v>
      </c>
      <c r="C127" s="168" t="s">
        <v>164</v>
      </c>
      <c r="D127" s="169"/>
      <c r="E127" s="171"/>
      <c r="F127" s="171"/>
      <c r="G127" s="165"/>
      <c r="H127" s="174"/>
      <c r="I127" s="174">
        <f>I125+I126</f>
        <v>1478641.25</v>
      </c>
    </row>
    <row r="128" spans="2:9" outlineLevel="1">
      <c r="B128" s="184"/>
      <c r="D128" s="186"/>
      <c r="E128" s="186"/>
      <c r="F128" s="186"/>
      <c r="G128" s="184"/>
      <c r="H128" s="204"/>
      <c r="I128" s="204"/>
    </row>
    <row r="129" spans="1:10">
      <c r="A129" s="167" t="str">
        <f>B129</f>
        <v>A.4.1.1.4</v>
      </c>
      <c r="B129" s="159" t="s">
        <v>333</v>
      </c>
      <c r="D129" s="167" t="s">
        <v>204</v>
      </c>
      <c r="E129" s="163"/>
      <c r="F129" s="163"/>
      <c r="G129" s="163"/>
      <c r="J129" s="172">
        <f>I149</f>
        <v>1190340.357142857</v>
      </c>
    </row>
    <row r="130" spans="1:10" ht="31.2" outlineLevel="1">
      <c r="A130" s="163"/>
      <c r="B130" s="164" t="s">
        <v>75</v>
      </c>
      <c r="C130" s="1254" t="s">
        <v>140</v>
      </c>
      <c r="D130" s="1255"/>
      <c r="E130" s="164" t="s">
        <v>141</v>
      </c>
      <c r="F130" s="164" t="s">
        <v>142</v>
      </c>
      <c r="G130" s="164" t="s">
        <v>143</v>
      </c>
      <c r="H130" s="165" t="s">
        <v>144</v>
      </c>
      <c r="I130" s="165" t="s">
        <v>145</v>
      </c>
      <c r="J130" s="166"/>
    </row>
    <row r="131" spans="1:10" outlineLevel="1">
      <c r="B131" s="315" t="s">
        <v>146</v>
      </c>
      <c r="C131" s="206" t="s">
        <v>147</v>
      </c>
      <c r="D131" s="207"/>
      <c r="E131" s="315"/>
      <c r="F131" s="315"/>
      <c r="G131" s="315"/>
      <c r="H131" s="208"/>
      <c r="I131" s="209"/>
      <c r="J131" s="210"/>
    </row>
    <row r="132" spans="1:10" outlineLevel="1">
      <c r="B132" s="315"/>
      <c r="C132" s="206" t="s">
        <v>77</v>
      </c>
      <c r="D132" s="207"/>
      <c r="E132" s="315" t="s">
        <v>148</v>
      </c>
      <c r="F132" s="315" t="s">
        <v>76</v>
      </c>
      <c r="G132" s="211">
        <v>1.2</v>
      </c>
      <c r="H132" s="174">
        <f>VLOOKUP(C132,'UPAH-BAHAN'!D:F,2,0)</f>
        <v>120000</v>
      </c>
      <c r="I132" s="209">
        <f>G132*H132</f>
        <v>144000</v>
      </c>
      <c r="J132" s="210"/>
    </row>
    <row r="133" spans="1:10" outlineLevel="1">
      <c r="B133" s="315"/>
      <c r="C133" s="206" t="s">
        <v>86</v>
      </c>
      <c r="D133" s="207"/>
      <c r="E133" s="315" t="s">
        <v>149</v>
      </c>
      <c r="F133" s="315" t="s">
        <v>76</v>
      </c>
      <c r="G133" s="211">
        <v>0.2</v>
      </c>
      <c r="H133" s="174">
        <f>VLOOKUP(C133,'UPAH-BAHAN'!D:F,2,0)</f>
        <v>160000</v>
      </c>
      <c r="I133" s="209">
        <f>G133*H133</f>
        <v>32000</v>
      </c>
      <c r="J133" s="210"/>
    </row>
    <row r="134" spans="1:10" outlineLevel="1">
      <c r="B134" s="315"/>
      <c r="C134" s="206" t="s">
        <v>79</v>
      </c>
      <c r="D134" s="207"/>
      <c r="E134" s="315" t="s">
        <v>150</v>
      </c>
      <c r="F134" s="315" t="s">
        <v>76</v>
      </c>
      <c r="G134" s="212">
        <v>0.02</v>
      </c>
      <c r="H134" s="174">
        <f>VLOOKUP(C134,'UPAH-BAHAN'!D:F,2,0)</f>
        <v>170000</v>
      </c>
      <c r="I134" s="209">
        <f>G134*H134</f>
        <v>3400</v>
      </c>
      <c r="J134" s="210"/>
    </row>
    <row r="135" spans="1:10" outlineLevel="1">
      <c r="B135" s="315"/>
      <c r="C135" s="206" t="s">
        <v>80</v>
      </c>
      <c r="D135" s="207"/>
      <c r="E135" s="315" t="s">
        <v>151</v>
      </c>
      <c r="F135" s="315" t="s">
        <v>76</v>
      </c>
      <c r="G135" s="211">
        <v>0.06</v>
      </c>
      <c r="H135" s="174">
        <f>VLOOKUP(C135,'UPAH-BAHAN'!D:F,2,0)</f>
        <v>225000</v>
      </c>
      <c r="I135" s="209">
        <f>G135*H135</f>
        <v>13500</v>
      </c>
      <c r="J135" s="210"/>
    </row>
    <row r="136" spans="1:10" outlineLevel="1">
      <c r="B136" s="315"/>
      <c r="C136" s="206"/>
      <c r="D136" s="207"/>
      <c r="E136" s="750"/>
      <c r="F136" s="213"/>
      <c r="G136" s="1264" t="s">
        <v>152</v>
      </c>
      <c r="H136" s="1264"/>
      <c r="I136" s="209">
        <f>SUM(I132:I135)</f>
        <v>192900</v>
      </c>
      <c r="J136" s="210"/>
    </row>
    <row r="137" spans="1:10" outlineLevel="1">
      <c r="B137" s="315" t="s">
        <v>153</v>
      </c>
      <c r="C137" s="206" t="s">
        <v>154</v>
      </c>
      <c r="D137" s="207"/>
      <c r="E137" s="750"/>
      <c r="F137" s="315"/>
      <c r="G137" s="214"/>
      <c r="H137" s="208"/>
      <c r="I137" s="209"/>
      <c r="J137" s="210"/>
    </row>
    <row r="138" spans="1:10" outlineLevel="1">
      <c r="B138" s="315"/>
      <c r="C138" s="206" t="s">
        <v>87</v>
      </c>
      <c r="D138" s="207"/>
      <c r="E138" s="750"/>
      <c r="F138" s="315" t="s">
        <v>64</v>
      </c>
      <c r="G138" s="211">
        <v>230</v>
      </c>
      <c r="H138" s="174">
        <f>VLOOKUP(C138,'UPAH-BAHAN'!D:F,2,0)</f>
        <v>1700</v>
      </c>
      <c r="I138" s="209">
        <f>H138*G138</f>
        <v>391000</v>
      </c>
      <c r="J138" s="210"/>
    </row>
    <row r="139" spans="1:10" outlineLevel="1">
      <c r="B139" s="315"/>
      <c r="C139" s="168" t="s">
        <v>169</v>
      </c>
      <c r="D139" s="207"/>
      <c r="E139" s="750"/>
      <c r="F139" s="315" t="s">
        <v>64</v>
      </c>
      <c r="G139" s="315">
        <v>893</v>
      </c>
      <c r="H139" s="174">
        <f>VLOOKUP(C139,'UPAH-BAHAN'!D:F,2,0)</f>
        <v>107.14285714285714</v>
      </c>
      <c r="I139" s="209">
        <f>H139*G139</f>
        <v>95678.57142857142</v>
      </c>
      <c r="J139" s="210"/>
    </row>
    <row r="140" spans="1:10" outlineLevel="1">
      <c r="B140" s="315"/>
      <c r="C140" s="206" t="s">
        <v>104</v>
      </c>
      <c r="D140" s="207"/>
      <c r="E140" s="750"/>
      <c r="F140" s="315" t="s">
        <v>64</v>
      </c>
      <c r="G140" s="214">
        <v>1027</v>
      </c>
      <c r="H140" s="174">
        <f>VLOOKUP(C140,'UPAH-BAHAN'!D:F,2,0)</f>
        <v>346.15384615384613</v>
      </c>
      <c r="I140" s="209">
        <f>H140*G140</f>
        <v>355500</v>
      </c>
      <c r="J140" s="210"/>
    </row>
    <row r="141" spans="1:10" outlineLevel="1">
      <c r="B141" s="315"/>
      <c r="C141" s="206" t="s">
        <v>170</v>
      </c>
      <c r="D141" s="207"/>
      <c r="E141" s="750"/>
      <c r="F141" s="315"/>
      <c r="G141" s="315"/>
      <c r="H141" s="208"/>
      <c r="I141" s="209"/>
      <c r="J141" s="210"/>
    </row>
    <row r="142" spans="1:10" outlineLevel="1">
      <c r="B142" s="315"/>
      <c r="C142" s="1265" t="s">
        <v>93</v>
      </c>
      <c r="D142" s="1266"/>
      <c r="E142" s="751"/>
      <c r="F142" s="315" t="s">
        <v>100</v>
      </c>
      <c r="G142" s="315">
        <v>200</v>
      </c>
      <c r="H142" s="174">
        <f>VLOOKUP(C142,'UPAH-BAHAN'!D:F,2,0)</f>
        <v>0</v>
      </c>
      <c r="I142" s="209">
        <f>G142*H142</f>
        <v>0</v>
      </c>
      <c r="J142" s="210"/>
    </row>
    <row r="143" spans="1:10" outlineLevel="1">
      <c r="B143" s="315"/>
      <c r="C143" s="1265"/>
      <c r="D143" s="1266"/>
      <c r="E143" s="751"/>
      <c r="F143" s="215"/>
      <c r="G143" s="1267" t="s">
        <v>156</v>
      </c>
      <c r="H143" s="1267"/>
      <c r="I143" s="209">
        <f>SUM(I138:I142)</f>
        <v>842178.57142857136</v>
      </c>
      <c r="J143" s="210"/>
    </row>
    <row r="144" spans="1:10" outlineLevel="1">
      <c r="B144" s="214" t="s">
        <v>157</v>
      </c>
      <c r="C144" s="1252" t="s">
        <v>158</v>
      </c>
      <c r="D144" s="1253"/>
      <c r="E144" s="214"/>
      <c r="F144" s="214"/>
      <c r="G144" s="214"/>
      <c r="H144" s="216"/>
      <c r="I144" s="216"/>
      <c r="J144" s="210"/>
    </row>
    <row r="145" spans="1:15" outlineLevel="1">
      <c r="B145" s="315"/>
      <c r="C145" s="1265"/>
      <c r="D145" s="1266"/>
      <c r="E145" s="315"/>
      <c r="F145" s="315"/>
      <c r="G145" s="315"/>
      <c r="H145" s="208"/>
      <c r="I145" s="209"/>
      <c r="J145" s="210"/>
    </row>
    <row r="146" spans="1:15" outlineLevel="1">
      <c r="B146" s="315"/>
      <c r="C146" s="1265"/>
      <c r="D146" s="1266"/>
      <c r="E146" s="315"/>
      <c r="F146" s="215"/>
      <c r="G146" s="1267" t="s">
        <v>159</v>
      </c>
      <c r="H146" s="1267"/>
      <c r="I146" s="209">
        <f>SUM(I144:I145)</f>
        <v>0</v>
      </c>
      <c r="J146" s="210"/>
    </row>
    <row r="147" spans="1:15" outlineLevel="1">
      <c r="B147" s="315" t="s">
        <v>160</v>
      </c>
      <c r="C147" s="206" t="s">
        <v>161</v>
      </c>
      <c r="D147" s="207"/>
      <c r="E147" s="315"/>
      <c r="F147" s="315"/>
      <c r="G147" s="315"/>
      <c r="H147" s="208"/>
      <c r="I147" s="209">
        <f>I136+I143+I146</f>
        <v>1035078.5714285714</v>
      </c>
      <c r="J147" s="210"/>
    </row>
    <row r="148" spans="1:15" outlineLevel="1">
      <c r="B148" s="217" t="s">
        <v>162</v>
      </c>
      <c r="C148" s="218" t="s">
        <v>82</v>
      </c>
      <c r="D148" s="219"/>
      <c r="E148" s="194"/>
      <c r="F148" s="220"/>
      <c r="G148" s="180">
        <f>$J$3</f>
        <v>0.15</v>
      </c>
      <c r="H148" s="171"/>
      <c r="I148" s="175">
        <f>I147*G148</f>
        <v>155261.78571428571</v>
      </c>
    </row>
    <row r="149" spans="1:15" outlineLevel="1">
      <c r="B149" s="315" t="s">
        <v>163</v>
      </c>
      <c r="C149" s="206" t="s">
        <v>164</v>
      </c>
      <c r="D149" s="207"/>
      <c r="E149" s="315"/>
      <c r="F149" s="315"/>
      <c r="G149" s="315"/>
      <c r="H149" s="208"/>
      <c r="I149" s="209">
        <f>I147+I148</f>
        <v>1190340.357142857</v>
      </c>
      <c r="J149" s="210"/>
    </row>
    <row r="150" spans="1:15" outlineLevel="1">
      <c r="B150" s="221"/>
      <c r="C150" s="222"/>
      <c r="D150" s="223"/>
      <c r="E150" s="221"/>
      <c r="F150" s="221"/>
      <c r="G150" s="221"/>
      <c r="H150" s="224"/>
      <c r="I150" s="225"/>
      <c r="J150" s="210"/>
    </row>
    <row r="151" spans="1:15">
      <c r="A151" s="167" t="str">
        <f>B151</f>
        <v>A.4.1.1.8.</v>
      </c>
      <c r="B151" s="159" t="s">
        <v>433</v>
      </c>
      <c r="D151" s="167" t="s">
        <v>434</v>
      </c>
      <c r="E151" s="163"/>
      <c r="F151" s="163"/>
      <c r="G151" s="163"/>
      <c r="J151" s="172">
        <f>I170</f>
        <v>1603010.7170329669</v>
      </c>
    </row>
    <row r="152" spans="1:15" s="488" customFormat="1" ht="31.2" outlineLevel="1">
      <c r="A152" s="13"/>
      <c r="B152" s="489" t="s">
        <v>75</v>
      </c>
      <c r="C152" s="1256" t="s">
        <v>140</v>
      </c>
      <c r="D152" s="1257"/>
      <c r="E152" s="490" t="s">
        <v>141</v>
      </c>
      <c r="F152" s="490" t="s">
        <v>142</v>
      </c>
      <c r="G152" s="490" t="s">
        <v>143</v>
      </c>
      <c r="H152" s="482" t="s">
        <v>144</v>
      </c>
      <c r="I152" s="482" t="s">
        <v>145</v>
      </c>
      <c r="J152" s="172"/>
      <c r="K152" s="154"/>
      <c r="L152" s="756"/>
      <c r="M152" s="154"/>
      <c r="N152" s="154"/>
      <c r="O152" s="154"/>
    </row>
    <row r="153" spans="1:15" s="488" customFormat="1" outlineLevel="1">
      <c r="A153" s="3"/>
      <c r="B153" s="491" t="s">
        <v>146</v>
      </c>
      <c r="C153" s="480" t="s">
        <v>147</v>
      </c>
      <c r="D153" s="481"/>
      <c r="E153" s="484"/>
      <c r="F153" s="484"/>
      <c r="G153" s="484"/>
      <c r="H153" s="492"/>
      <c r="I153" s="492"/>
      <c r="J153" s="172"/>
      <c r="K153" s="154"/>
      <c r="L153" s="756"/>
      <c r="M153" s="154"/>
      <c r="N153" s="154"/>
      <c r="O153" s="154"/>
    </row>
    <row r="154" spans="1:15" s="488" customFormat="1" outlineLevel="1">
      <c r="A154" s="3"/>
      <c r="B154" s="491"/>
      <c r="C154" s="480" t="s">
        <v>77</v>
      </c>
      <c r="D154" s="481"/>
      <c r="E154" s="482" t="s">
        <v>148</v>
      </c>
      <c r="F154" s="482" t="s">
        <v>76</v>
      </c>
      <c r="G154" s="483">
        <v>1.65</v>
      </c>
      <c r="H154" s="174">
        <f>VLOOKUP(C154,'UPAH-BAHAN'!D:F,2,0)</f>
        <v>120000</v>
      </c>
      <c r="I154" s="493">
        <f>G154*H154</f>
        <v>198000</v>
      </c>
      <c r="J154" s="172"/>
      <c r="K154" s="154"/>
      <c r="L154" s="756"/>
      <c r="M154" s="154"/>
      <c r="N154" s="154"/>
      <c r="O154" s="154"/>
    </row>
    <row r="155" spans="1:15" s="488" customFormat="1" outlineLevel="1">
      <c r="A155" s="3"/>
      <c r="B155" s="491"/>
      <c r="C155" s="480" t="s">
        <v>86</v>
      </c>
      <c r="D155" s="481"/>
      <c r="E155" s="482" t="s">
        <v>149</v>
      </c>
      <c r="F155" s="482" t="s">
        <v>76</v>
      </c>
      <c r="G155" s="482">
        <v>0.27500000000000002</v>
      </c>
      <c r="H155" s="174">
        <f>VLOOKUP(C155,'UPAH-BAHAN'!D:F,2,0)</f>
        <v>160000</v>
      </c>
      <c r="I155" s="493">
        <f>G155*H155</f>
        <v>44000</v>
      </c>
      <c r="J155" s="172"/>
      <c r="K155" s="154"/>
      <c r="L155" s="756"/>
      <c r="M155" s="154"/>
      <c r="N155" s="154"/>
      <c r="O155" s="154"/>
    </row>
    <row r="156" spans="1:15" s="488" customFormat="1" outlineLevel="1">
      <c r="A156" s="3"/>
      <c r="B156" s="491"/>
      <c r="C156" s="480" t="s">
        <v>79</v>
      </c>
      <c r="D156" s="481"/>
      <c r="E156" s="482" t="s">
        <v>150</v>
      </c>
      <c r="F156" s="482" t="s">
        <v>76</v>
      </c>
      <c r="G156" s="482">
        <v>2.8000000000000001E-2</v>
      </c>
      <c r="H156" s="174">
        <f>VLOOKUP(C156,'UPAH-BAHAN'!D:F,2,0)</f>
        <v>170000</v>
      </c>
      <c r="I156" s="493">
        <f>G156*H156</f>
        <v>4760</v>
      </c>
      <c r="J156" s="172"/>
      <c r="K156" s="154"/>
      <c r="L156" s="756"/>
      <c r="M156" s="154"/>
      <c r="N156" s="154"/>
      <c r="O156" s="154"/>
    </row>
    <row r="157" spans="1:15" s="488" customFormat="1" outlineLevel="1">
      <c r="A157" s="3"/>
      <c r="B157" s="491"/>
      <c r="C157" s="480" t="s">
        <v>80</v>
      </c>
      <c r="D157" s="481"/>
      <c r="E157" s="482" t="s">
        <v>151</v>
      </c>
      <c r="F157" s="482" t="s">
        <v>76</v>
      </c>
      <c r="G157" s="482">
        <v>8.3000000000000004E-2</v>
      </c>
      <c r="H157" s="174">
        <f>VLOOKUP(C157,'UPAH-BAHAN'!D:F,2,0)</f>
        <v>225000</v>
      </c>
      <c r="I157" s="493">
        <f>G157*H157</f>
        <v>18675</v>
      </c>
      <c r="J157" s="172"/>
      <c r="K157" s="154"/>
      <c r="L157" s="756"/>
      <c r="M157" s="154"/>
      <c r="N157" s="154"/>
      <c r="O157" s="154"/>
    </row>
    <row r="158" spans="1:15" s="488" customFormat="1" outlineLevel="1">
      <c r="A158" s="3"/>
      <c r="B158" s="491"/>
      <c r="C158" s="480"/>
      <c r="D158" s="481"/>
      <c r="E158" s="484"/>
      <c r="F158" s="484"/>
      <c r="G158" s="708" t="s">
        <v>171</v>
      </c>
      <c r="H158" s="494"/>
      <c r="I158" s="493">
        <f>SUM(I154:I157)</f>
        <v>265435</v>
      </c>
      <c r="J158" s="172"/>
      <c r="K158" s="154"/>
      <c r="L158" s="756"/>
      <c r="M158" s="154"/>
      <c r="N158" s="154"/>
      <c r="O158" s="154"/>
    </row>
    <row r="159" spans="1:15" s="488" customFormat="1" outlineLevel="1">
      <c r="A159" s="3"/>
      <c r="B159" s="491" t="s">
        <v>153</v>
      </c>
      <c r="C159" s="480" t="s">
        <v>154</v>
      </c>
      <c r="D159" s="481"/>
      <c r="E159" s="484"/>
      <c r="F159" s="484"/>
      <c r="G159" s="484"/>
      <c r="H159" s="493"/>
      <c r="I159" s="493"/>
      <c r="J159" s="172"/>
      <c r="K159" s="154"/>
      <c r="L159" s="756"/>
      <c r="M159" s="154"/>
      <c r="N159" s="154"/>
      <c r="O159" s="154"/>
    </row>
    <row r="160" spans="1:15" s="488" customFormat="1" outlineLevel="1">
      <c r="A160" s="3"/>
      <c r="B160" s="491"/>
      <c r="C160" s="480" t="s">
        <v>124</v>
      </c>
      <c r="D160" s="481"/>
      <c r="E160" s="484"/>
      <c r="F160" s="482" t="s">
        <v>64</v>
      </c>
      <c r="G160" s="482">
        <v>413</v>
      </c>
      <c r="H160" s="174">
        <f>VLOOKUP(C160,'UPAH-BAHAN'!D:F,2,0)</f>
        <v>1700</v>
      </c>
      <c r="I160" s="495">
        <f>G160*H160</f>
        <v>702100</v>
      </c>
      <c r="J160" s="172"/>
      <c r="K160" s="154"/>
      <c r="L160" s="756"/>
      <c r="M160" s="154"/>
      <c r="N160" s="154"/>
      <c r="O160" s="154"/>
    </row>
    <row r="161" spans="1:15" s="488" customFormat="1" outlineLevel="1">
      <c r="A161" s="3"/>
      <c r="B161" s="491"/>
      <c r="C161" s="480" t="s">
        <v>169</v>
      </c>
      <c r="D161" s="481"/>
      <c r="E161" s="484"/>
      <c r="F161" s="482" t="s">
        <v>64</v>
      </c>
      <c r="G161" s="482">
        <v>681</v>
      </c>
      <c r="H161" s="174">
        <f>VLOOKUP(C161,'UPAH-BAHAN'!D:F,2,0)</f>
        <v>107.14285714285714</v>
      </c>
      <c r="I161" s="495">
        <f>G161*H161</f>
        <v>72964.28571428571</v>
      </c>
      <c r="J161" s="172"/>
      <c r="K161" s="154"/>
      <c r="L161" s="756"/>
      <c r="M161" s="154"/>
      <c r="N161" s="154"/>
      <c r="O161" s="154"/>
    </row>
    <row r="162" spans="1:15" s="488" customFormat="1" outlineLevel="1">
      <c r="A162" s="3"/>
      <c r="B162" s="491"/>
      <c r="C162" s="480" t="s">
        <v>104</v>
      </c>
      <c r="D162" s="481"/>
      <c r="E162" s="484"/>
      <c r="F162" s="482" t="s">
        <v>64</v>
      </c>
      <c r="G162" s="482">
        <v>1021</v>
      </c>
      <c r="H162" s="174">
        <f>VLOOKUP(C162,'UPAH-BAHAN'!D:F,2,0)</f>
        <v>346.15384615384613</v>
      </c>
      <c r="I162" s="495">
        <f>G162*H162</f>
        <v>353423.07692307688</v>
      </c>
      <c r="J162" s="172"/>
      <c r="K162" s="154"/>
      <c r="L162" s="756"/>
      <c r="M162" s="154"/>
      <c r="N162" s="154"/>
      <c r="O162" s="154"/>
    </row>
    <row r="163" spans="1:15" s="488" customFormat="1" outlineLevel="1">
      <c r="A163" s="3"/>
      <c r="B163" s="491"/>
      <c r="C163" s="480" t="s">
        <v>93</v>
      </c>
      <c r="D163" s="481"/>
      <c r="E163" s="484"/>
      <c r="F163" s="482" t="s">
        <v>100</v>
      </c>
      <c r="G163" s="482">
        <v>215</v>
      </c>
      <c r="H163" s="174">
        <f>VLOOKUP(C163,'UPAH-BAHAN'!D:F,2,0)</f>
        <v>0</v>
      </c>
      <c r="I163" s="495">
        <f>G163*H163</f>
        <v>0</v>
      </c>
      <c r="J163" s="172"/>
      <c r="K163" s="154"/>
      <c r="L163" s="756"/>
      <c r="M163" s="154"/>
      <c r="N163" s="154"/>
      <c r="O163" s="154"/>
    </row>
    <row r="164" spans="1:15" s="488" customFormat="1" outlineLevel="1">
      <c r="A164" s="3"/>
      <c r="B164" s="491"/>
      <c r="C164" s="496"/>
      <c r="D164" s="481"/>
      <c r="E164" s="484"/>
      <c r="F164" s="484"/>
      <c r="G164" s="708" t="s">
        <v>172</v>
      </c>
      <c r="H164" s="494"/>
      <c r="I164" s="495">
        <f>SUM(I160:I163)</f>
        <v>1128487.3626373624</v>
      </c>
      <c r="J164" s="172"/>
      <c r="K164" s="154"/>
      <c r="L164" s="756"/>
      <c r="M164" s="154"/>
      <c r="N164" s="154"/>
      <c r="O164" s="154"/>
    </row>
    <row r="165" spans="1:15" s="488" customFormat="1" outlineLevel="1">
      <c r="A165" s="3"/>
      <c r="B165" s="491" t="s">
        <v>157</v>
      </c>
      <c r="C165" s="480" t="s">
        <v>158</v>
      </c>
      <c r="D165" s="481"/>
      <c r="E165" s="484"/>
      <c r="F165" s="484"/>
      <c r="G165" s="484"/>
      <c r="H165" s="493"/>
      <c r="I165" s="493"/>
      <c r="J165" s="172"/>
      <c r="K165" s="154"/>
      <c r="L165" s="756"/>
      <c r="M165" s="154"/>
      <c r="N165" s="154"/>
      <c r="O165" s="154"/>
    </row>
    <row r="166" spans="1:15" s="488" customFormat="1" outlineLevel="1">
      <c r="A166" s="3"/>
      <c r="B166" s="491"/>
      <c r="C166" s="480"/>
      <c r="D166" s="481"/>
      <c r="E166" s="484"/>
      <c r="F166" s="484"/>
      <c r="G166" s="708" t="s">
        <v>159</v>
      </c>
      <c r="H166" s="494"/>
      <c r="I166" s="493"/>
      <c r="J166" s="172"/>
      <c r="K166" s="154"/>
      <c r="L166" s="756"/>
      <c r="M166" s="154"/>
      <c r="N166" s="154"/>
      <c r="O166" s="154"/>
    </row>
    <row r="167" spans="1:15" s="488" customFormat="1" outlineLevel="1">
      <c r="A167" s="3"/>
      <c r="B167" s="491"/>
      <c r="C167" s="496"/>
      <c r="D167" s="481"/>
      <c r="E167" s="484"/>
      <c r="F167" s="484"/>
      <c r="G167" s="484"/>
      <c r="H167" s="493"/>
      <c r="I167" s="493"/>
      <c r="J167" s="172"/>
      <c r="K167" s="154"/>
      <c r="L167" s="756"/>
      <c r="M167" s="154"/>
      <c r="N167" s="154"/>
      <c r="O167" s="154"/>
    </row>
    <row r="168" spans="1:15" s="488" customFormat="1" outlineLevel="1">
      <c r="A168" s="3"/>
      <c r="B168" s="491" t="s">
        <v>160</v>
      </c>
      <c r="C168" s="480" t="s">
        <v>161</v>
      </c>
      <c r="D168" s="481"/>
      <c r="E168" s="747"/>
      <c r="F168" s="497"/>
      <c r="G168" s="482"/>
      <c r="H168" s="493"/>
      <c r="I168" s="495">
        <f>I166+I164+I158</f>
        <v>1393922.3626373624</v>
      </c>
      <c r="J168" s="172"/>
      <c r="K168" s="154"/>
      <c r="L168" s="756"/>
      <c r="M168" s="154"/>
      <c r="N168" s="154"/>
      <c r="O168" s="154"/>
    </row>
    <row r="169" spans="1:15" s="488" customFormat="1" outlineLevel="1">
      <c r="A169" s="3"/>
      <c r="B169" s="491" t="s">
        <v>162</v>
      </c>
      <c r="C169" s="480" t="s">
        <v>82</v>
      </c>
      <c r="D169" s="481"/>
      <c r="E169" s="492"/>
      <c r="F169" s="492"/>
      <c r="G169" s="180">
        <f>$J$3</f>
        <v>0.15</v>
      </c>
      <c r="H169" s="492"/>
      <c r="I169" s="493">
        <f>I168*G169</f>
        <v>209088.35439560437</v>
      </c>
      <c r="J169" s="172"/>
      <c r="K169" s="154"/>
      <c r="L169" s="756"/>
      <c r="M169" s="154"/>
      <c r="N169" s="154"/>
      <c r="O169" s="154"/>
    </row>
    <row r="170" spans="1:15" s="488" customFormat="1" outlineLevel="1">
      <c r="A170" s="3"/>
      <c r="B170" s="491" t="s">
        <v>163</v>
      </c>
      <c r="C170" s="480" t="s">
        <v>164</v>
      </c>
      <c r="D170" s="481"/>
      <c r="E170" s="492"/>
      <c r="F170" s="492"/>
      <c r="G170" s="482"/>
      <c r="H170" s="493"/>
      <c r="I170" s="495">
        <f>I168+I169</f>
        <v>1603010.7170329669</v>
      </c>
      <c r="J170" s="172"/>
      <c r="K170" s="154"/>
      <c r="L170" s="756"/>
      <c r="M170" s="154"/>
      <c r="N170" s="154"/>
      <c r="O170" s="154"/>
    </row>
    <row r="171" spans="1:15" s="488" customFormat="1" outlineLevel="1">
      <c r="A171" s="3"/>
      <c r="B171" s="498"/>
      <c r="C171" s="2"/>
      <c r="D171" s="499"/>
      <c r="E171" s="499"/>
      <c r="F171" s="499"/>
      <c r="G171" s="649"/>
      <c r="H171" s="500"/>
      <c r="I171" s="501"/>
      <c r="J171" s="172"/>
      <c r="K171" s="154"/>
      <c r="L171" s="756"/>
      <c r="M171" s="154"/>
      <c r="N171" s="154"/>
      <c r="O171" s="154"/>
    </row>
    <row r="172" spans="1:15">
      <c r="A172" s="167" t="str">
        <f>B172</f>
        <v>A.4.1.1.9.</v>
      </c>
      <c r="B172" s="159" t="s">
        <v>435</v>
      </c>
      <c r="D172" s="167" t="s">
        <v>436</v>
      </c>
      <c r="E172" s="163"/>
      <c r="F172" s="163"/>
      <c r="G172" s="163"/>
      <c r="J172" s="172">
        <f>I191</f>
        <v>1451411.2087912087</v>
      </c>
    </row>
    <row r="173" spans="1:15" s="488" customFormat="1" ht="31.2" outlineLevel="1">
      <c r="A173" s="13"/>
      <c r="B173" s="489" t="s">
        <v>75</v>
      </c>
      <c r="C173" s="1256" t="s">
        <v>140</v>
      </c>
      <c r="D173" s="1257"/>
      <c r="E173" s="490" t="s">
        <v>141</v>
      </c>
      <c r="F173" s="490" t="s">
        <v>142</v>
      </c>
      <c r="G173" s="490" t="s">
        <v>143</v>
      </c>
      <c r="H173" s="482" t="s">
        <v>144</v>
      </c>
      <c r="I173" s="482" t="s">
        <v>145</v>
      </c>
      <c r="J173" s="172"/>
      <c r="K173" s="154"/>
      <c r="L173" s="756"/>
      <c r="M173" s="154"/>
      <c r="N173" s="154"/>
      <c r="O173" s="154"/>
    </row>
    <row r="174" spans="1:15" s="488" customFormat="1" outlineLevel="1">
      <c r="A174" s="3"/>
      <c r="B174" s="491" t="s">
        <v>146</v>
      </c>
      <c r="C174" s="480" t="s">
        <v>147</v>
      </c>
      <c r="D174" s="481"/>
      <c r="E174" s="484"/>
      <c r="F174" s="484"/>
      <c r="G174" s="484"/>
      <c r="H174" s="492"/>
      <c r="I174" s="492"/>
      <c r="J174" s="172"/>
      <c r="K174" s="154"/>
      <c r="L174" s="756"/>
      <c r="M174" s="154"/>
      <c r="N174" s="154"/>
      <c r="O174" s="154"/>
    </row>
    <row r="175" spans="1:15" s="488" customFormat="1" outlineLevel="1">
      <c r="A175" s="3"/>
      <c r="B175" s="491"/>
      <c r="C175" s="480" t="s">
        <v>77</v>
      </c>
      <c r="D175" s="481"/>
      <c r="E175" s="482" t="s">
        <v>148</v>
      </c>
      <c r="F175" s="482" t="s">
        <v>76</v>
      </c>
      <c r="G175" s="483">
        <v>1</v>
      </c>
      <c r="H175" s="174">
        <f>VLOOKUP(C175,'UPAH-BAHAN'!D:F,2,0)</f>
        <v>120000</v>
      </c>
      <c r="I175" s="493">
        <f>G175*H175</f>
        <v>120000</v>
      </c>
      <c r="J175" s="172"/>
      <c r="K175" s="154"/>
      <c r="L175" s="756"/>
      <c r="M175" s="154"/>
      <c r="N175" s="154"/>
      <c r="O175" s="154"/>
    </row>
    <row r="176" spans="1:15" s="488" customFormat="1" outlineLevel="1">
      <c r="A176" s="3"/>
      <c r="B176" s="491"/>
      <c r="C176" s="480" t="s">
        <v>86</v>
      </c>
      <c r="D176" s="481"/>
      <c r="E176" s="482" t="s">
        <v>149</v>
      </c>
      <c r="F176" s="482" t="s">
        <v>76</v>
      </c>
      <c r="G176" s="482">
        <v>0.25</v>
      </c>
      <c r="H176" s="174">
        <f>VLOOKUP(C176,'UPAH-BAHAN'!D:F,2,0)</f>
        <v>160000</v>
      </c>
      <c r="I176" s="493">
        <f>G176*H176</f>
        <v>40000</v>
      </c>
      <c r="J176" s="172"/>
      <c r="K176" s="154"/>
      <c r="L176" s="756"/>
      <c r="M176" s="154"/>
      <c r="N176" s="154"/>
      <c r="O176" s="154"/>
    </row>
    <row r="177" spans="1:15" s="488" customFormat="1" outlineLevel="1">
      <c r="A177" s="3"/>
      <c r="B177" s="491"/>
      <c r="C177" s="480" t="s">
        <v>79</v>
      </c>
      <c r="D177" s="481"/>
      <c r="E177" s="482" t="s">
        <v>150</v>
      </c>
      <c r="F177" s="482" t="s">
        <v>76</v>
      </c>
      <c r="G177" s="482">
        <v>2.5000000000000001E-2</v>
      </c>
      <c r="H177" s="174">
        <f>VLOOKUP(C177,'UPAH-BAHAN'!D:F,2,0)</f>
        <v>170000</v>
      </c>
      <c r="I177" s="493">
        <f>G177*H177</f>
        <v>4250</v>
      </c>
      <c r="J177" s="172"/>
      <c r="K177" s="154"/>
      <c r="L177" s="756"/>
      <c r="M177" s="154"/>
      <c r="N177" s="154"/>
      <c r="O177" s="154"/>
    </row>
    <row r="178" spans="1:15" s="488" customFormat="1" outlineLevel="1">
      <c r="A178" s="3"/>
      <c r="B178" s="491"/>
      <c r="C178" s="480" t="s">
        <v>80</v>
      </c>
      <c r="D178" s="481"/>
      <c r="E178" s="482" t="s">
        <v>151</v>
      </c>
      <c r="F178" s="482" t="s">
        <v>76</v>
      </c>
      <c r="G178" s="482">
        <v>0.05</v>
      </c>
      <c r="H178" s="174">
        <f>VLOOKUP(C178,'UPAH-BAHAN'!D:F,2,0)</f>
        <v>225000</v>
      </c>
      <c r="I178" s="493">
        <f>G178*H178</f>
        <v>11250</v>
      </c>
      <c r="J178" s="172"/>
      <c r="K178" s="154"/>
      <c r="L178" s="756"/>
      <c r="M178" s="154"/>
      <c r="N178" s="154"/>
      <c r="O178" s="154"/>
    </row>
    <row r="179" spans="1:15" s="488" customFormat="1" outlineLevel="1">
      <c r="A179" s="3"/>
      <c r="B179" s="491"/>
      <c r="C179" s="480"/>
      <c r="D179" s="481"/>
      <c r="E179" s="484"/>
      <c r="F179" s="484"/>
      <c r="G179" s="708" t="s">
        <v>171</v>
      </c>
      <c r="H179" s="494"/>
      <c r="I179" s="493">
        <f>SUM(I175:I178)</f>
        <v>175500</v>
      </c>
      <c r="J179" s="172"/>
      <c r="K179" s="154"/>
      <c r="L179" s="756"/>
      <c r="M179" s="154"/>
      <c r="N179" s="154"/>
      <c r="O179" s="154"/>
    </row>
    <row r="180" spans="1:15" s="488" customFormat="1" outlineLevel="1">
      <c r="A180" s="3"/>
      <c r="B180" s="491" t="s">
        <v>153</v>
      </c>
      <c r="C180" s="480" t="s">
        <v>154</v>
      </c>
      <c r="D180" s="481"/>
      <c r="E180" s="484"/>
      <c r="F180" s="484"/>
      <c r="G180" s="484"/>
      <c r="H180" s="493"/>
      <c r="I180" s="493"/>
      <c r="J180" s="172"/>
      <c r="K180" s="154"/>
      <c r="L180" s="756"/>
      <c r="M180" s="154"/>
      <c r="N180" s="154"/>
      <c r="O180" s="154"/>
    </row>
    <row r="181" spans="1:15" s="488" customFormat="1" outlineLevel="1">
      <c r="A181" s="3"/>
      <c r="B181" s="491"/>
      <c r="C181" s="480" t="s">
        <v>124</v>
      </c>
      <c r="D181" s="481"/>
      <c r="E181" s="484"/>
      <c r="F181" s="482" t="s">
        <v>64</v>
      </c>
      <c r="G181" s="482">
        <v>384</v>
      </c>
      <c r="H181" s="174">
        <f>VLOOKUP(C181,'UPAH-BAHAN'!D:F,2,0)</f>
        <v>1700</v>
      </c>
      <c r="I181" s="495">
        <f>G181*H181</f>
        <v>652800</v>
      </c>
      <c r="J181" s="172"/>
      <c r="K181" s="154"/>
      <c r="L181" s="756"/>
      <c r="M181" s="154"/>
      <c r="N181" s="154"/>
      <c r="O181" s="154"/>
    </row>
    <row r="182" spans="1:15" s="488" customFormat="1" outlineLevel="1">
      <c r="A182" s="3"/>
      <c r="B182" s="491"/>
      <c r="C182" s="480" t="s">
        <v>169</v>
      </c>
      <c r="D182" s="481"/>
      <c r="E182" s="484"/>
      <c r="F182" s="482" t="s">
        <v>64</v>
      </c>
      <c r="G182" s="482">
        <v>692</v>
      </c>
      <c r="H182" s="174">
        <f>VLOOKUP(C182,'UPAH-BAHAN'!D:F,2,0)</f>
        <v>107.14285714285714</v>
      </c>
      <c r="I182" s="495">
        <f>G182*H182</f>
        <v>74142.857142857145</v>
      </c>
      <c r="J182" s="172"/>
      <c r="K182" s="154"/>
      <c r="L182" s="756"/>
      <c r="M182" s="154"/>
      <c r="N182" s="154"/>
      <c r="O182" s="154"/>
    </row>
    <row r="183" spans="1:15" s="488" customFormat="1" outlineLevel="1">
      <c r="A183" s="3"/>
      <c r="B183" s="491"/>
      <c r="C183" s="480" t="s">
        <v>104</v>
      </c>
      <c r="D183" s="481"/>
      <c r="E183" s="484"/>
      <c r="F183" s="482" t="s">
        <v>64</v>
      </c>
      <c r="G183" s="482">
        <v>1039</v>
      </c>
      <c r="H183" s="174">
        <f>VLOOKUP(C183,'UPAH-BAHAN'!D:F,2,0)</f>
        <v>346.15384615384613</v>
      </c>
      <c r="I183" s="495">
        <f>G183*H183</f>
        <v>359653.84615384613</v>
      </c>
      <c r="J183" s="172"/>
      <c r="K183" s="154"/>
      <c r="L183" s="756"/>
      <c r="M183" s="154"/>
      <c r="N183" s="154"/>
      <c r="O183" s="154"/>
    </row>
    <row r="184" spans="1:15" s="488" customFormat="1" outlineLevel="1">
      <c r="A184" s="3"/>
      <c r="B184" s="491"/>
      <c r="C184" s="480" t="s">
        <v>93</v>
      </c>
      <c r="D184" s="481"/>
      <c r="E184" s="484"/>
      <c r="F184" s="482" t="s">
        <v>100</v>
      </c>
      <c r="G184" s="482">
        <v>215</v>
      </c>
      <c r="H184" s="174">
        <f>VLOOKUP(C184,'UPAH-BAHAN'!D:F,2,0)</f>
        <v>0</v>
      </c>
      <c r="I184" s="495">
        <f>G184*H184</f>
        <v>0</v>
      </c>
      <c r="J184" s="172"/>
      <c r="K184" s="154"/>
      <c r="L184" s="756"/>
      <c r="M184" s="154"/>
      <c r="N184" s="154"/>
      <c r="O184" s="154"/>
    </row>
    <row r="185" spans="1:15" s="488" customFormat="1" outlineLevel="1">
      <c r="A185" s="3"/>
      <c r="B185" s="491"/>
      <c r="C185" s="496"/>
      <c r="D185" s="481"/>
      <c r="E185" s="484"/>
      <c r="F185" s="484"/>
      <c r="G185" s="708" t="s">
        <v>172</v>
      </c>
      <c r="H185" s="494"/>
      <c r="I185" s="495">
        <f>SUM(I181:I184)</f>
        <v>1086596.7032967033</v>
      </c>
      <c r="J185" s="172"/>
      <c r="K185" s="154"/>
      <c r="L185" s="756"/>
      <c r="M185" s="154"/>
      <c r="N185" s="154"/>
      <c r="O185" s="154"/>
    </row>
    <row r="186" spans="1:15" s="488" customFormat="1" outlineLevel="1">
      <c r="A186" s="3"/>
      <c r="B186" s="491" t="s">
        <v>157</v>
      </c>
      <c r="C186" s="480" t="s">
        <v>158</v>
      </c>
      <c r="D186" s="481"/>
      <c r="E186" s="484"/>
      <c r="F186" s="484"/>
      <c r="G186" s="484"/>
      <c r="H186" s="493"/>
      <c r="I186" s="493"/>
      <c r="J186" s="172"/>
      <c r="K186" s="154"/>
      <c r="L186" s="756"/>
      <c r="M186" s="154"/>
      <c r="N186" s="154"/>
      <c r="O186" s="154"/>
    </row>
    <row r="187" spans="1:15" s="488" customFormat="1" outlineLevel="1">
      <c r="A187" s="3"/>
      <c r="B187" s="491"/>
      <c r="C187" s="480"/>
      <c r="D187" s="481"/>
      <c r="E187" s="484"/>
      <c r="F187" s="484"/>
      <c r="G187" s="708" t="s">
        <v>159</v>
      </c>
      <c r="H187" s="494"/>
      <c r="I187" s="493"/>
      <c r="J187" s="172"/>
      <c r="K187" s="154"/>
      <c r="L187" s="756"/>
      <c r="M187" s="154"/>
      <c r="N187" s="154"/>
      <c r="O187" s="154"/>
    </row>
    <row r="188" spans="1:15" s="488" customFormat="1" outlineLevel="1">
      <c r="A188" s="3"/>
      <c r="B188" s="491"/>
      <c r="C188" s="496"/>
      <c r="D188" s="481"/>
      <c r="E188" s="484"/>
      <c r="F188" s="484"/>
      <c r="G188" s="484"/>
      <c r="H188" s="493"/>
      <c r="I188" s="493"/>
      <c r="J188" s="172"/>
      <c r="K188" s="154"/>
      <c r="L188" s="756"/>
      <c r="M188" s="154"/>
      <c r="N188" s="154"/>
      <c r="O188" s="154"/>
    </row>
    <row r="189" spans="1:15" s="488" customFormat="1" outlineLevel="1">
      <c r="A189" s="3"/>
      <c r="B189" s="491" t="s">
        <v>160</v>
      </c>
      <c r="C189" s="480" t="s">
        <v>161</v>
      </c>
      <c r="D189" s="481"/>
      <c r="E189" s="747"/>
      <c r="F189" s="497"/>
      <c r="G189" s="482"/>
      <c r="H189" s="493"/>
      <c r="I189" s="495">
        <f>I187+I185+I179</f>
        <v>1262096.7032967033</v>
      </c>
      <c r="J189" s="172"/>
      <c r="K189" s="154"/>
      <c r="L189" s="756"/>
      <c r="M189" s="154"/>
      <c r="N189" s="154"/>
      <c r="O189" s="154"/>
    </row>
    <row r="190" spans="1:15" s="488" customFormat="1" outlineLevel="1">
      <c r="A190" s="3"/>
      <c r="B190" s="491" t="s">
        <v>162</v>
      </c>
      <c r="C190" s="480" t="s">
        <v>82</v>
      </c>
      <c r="D190" s="481"/>
      <c r="E190" s="492"/>
      <c r="F190" s="492"/>
      <c r="G190" s="180">
        <f>$J$3</f>
        <v>0.15</v>
      </c>
      <c r="H190" s="492"/>
      <c r="I190" s="493">
        <f>I189*G190</f>
        <v>189314.50549450549</v>
      </c>
      <c r="J190" s="172"/>
      <c r="K190" s="154"/>
      <c r="L190" s="756"/>
      <c r="M190" s="154"/>
      <c r="N190" s="154"/>
      <c r="O190" s="154"/>
    </row>
    <row r="191" spans="1:15" s="488" customFormat="1" outlineLevel="1">
      <c r="A191" s="3"/>
      <c r="B191" s="491" t="s">
        <v>163</v>
      </c>
      <c r="C191" s="480" t="s">
        <v>164</v>
      </c>
      <c r="D191" s="481"/>
      <c r="E191" s="492"/>
      <c r="F191" s="492"/>
      <c r="G191" s="482"/>
      <c r="H191" s="493"/>
      <c r="I191" s="495">
        <f>I189+I190</f>
        <v>1451411.2087912087</v>
      </c>
      <c r="J191" s="172"/>
      <c r="K191" s="154"/>
      <c r="L191" s="756"/>
      <c r="M191" s="154"/>
      <c r="N191" s="154"/>
      <c r="O191" s="154"/>
    </row>
    <row r="192" spans="1:15" s="488" customFormat="1" outlineLevel="1">
      <c r="A192" s="3"/>
      <c r="B192" s="498"/>
      <c r="C192" s="2"/>
      <c r="D192" s="499"/>
      <c r="E192" s="499"/>
      <c r="F192" s="499"/>
      <c r="G192" s="649"/>
      <c r="H192" s="500"/>
      <c r="I192" s="501"/>
      <c r="J192" s="172"/>
      <c r="K192" s="154"/>
      <c r="L192" s="756"/>
      <c r="M192" s="154"/>
      <c r="N192" s="154"/>
      <c r="O192" s="154"/>
    </row>
    <row r="193" spans="1:15">
      <c r="A193" s="167" t="str">
        <f>B193</f>
        <v>A.4.1.1.10.</v>
      </c>
      <c r="B193" s="159" t="s">
        <v>437</v>
      </c>
      <c r="D193" s="167" t="s">
        <v>440</v>
      </c>
      <c r="E193" s="163"/>
      <c r="F193" s="163"/>
      <c r="G193" s="163"/>
      <c r="J193" s="172">
        <f>I212</f>
        <v>1429920.1098901099</v>
      </c>
    </row>
    <row r="194" spans="1:15" s="488" customFormat="1" ht="31.2" outlineLevel="1">
      <c r="A194" s="13"/>
      <c r="B194" s="489" t="s">
        <v>75</v>
      </c>
      <c r="C194" s="1256" t="s">
        <v>140</v>
      </c>
      <c r="D194" s="1257"/>
      <c r="E194" s="490" t="s">
        <v>141</v>
      </c>
      <c r="F194" s="490" t="s">
        <v>142</v>
      </c>
      <c r="G194" s="490" t="s">
        <v>143</v>
      </c>
      <c r="H194" s="482" t="s">
        <v>144</v>
      </c>
      <c r="I194" s="482" t="s">
        <v>145</v>
      </c>
      <c r="J194" s="172"/>
      <c r="K194" s="154"/>
      <c r="L194" s="756"/>
      <c r="M194" s="154"/>
      <c r="N194" s="154"/>
      <c r="O194" s="154"/>
    </row>
    <row r="195" spans="1:15" s="488" customFormat="1" outlineLevel="1">
      <c r="A195" s="3"/>
      <c r="B195" s="491" t="s">
        <v>146</v>
      </c>
      <c r="C195" s="480" t="s">
        <v>147</v>
      </c>
      <c r="D195" s="481"/>
      <c r="E195" s="484"/>
      <c r="F195" s="484"/>
      <c r="G195" s="484"/>
      <c r="H195" s="492"/>
      <c r="I195" s="492"/>
      <c r="J195" s="172"/>
      <c r="K195" s="154"/>
      <c r="L195" s="756"/>
      <c r="M195" s="154"/>
      <c r="N195" s="154"/>
      <c r="O195" s="154"/>
    </row>
    <row r="196" spans="1:15" s="488" customFormat="1" outlineLevel="1">
      <c r="A196" s="3"/>
      <c r="B196" s="491"/>
      <c r="C196" s="480" t="s">
        <v>77</v>
      </c>
      <c r="D196" s="481"/>
      <c r="E196" s="482" t="s">
        <v>148</v>
      </c>
      <c r="F196" s="482" t="s">
        <v>76</v>
      </c>
      <c r="G196" s="483">
        <v>1</v>
      </c>
      <c r="H196" s="174">
        <f>VLOOKUP(C196,'UPAH-BAHAN'!D:F,2,0)</f>
        <v>120000</v>
      </c>
      <c r="I196" s="493">
        <f>G196*H196</f>
        <v>120000</v>
      </c>
      <c r="J196" s="172"/>
      <c r="K196" s="154"/>
      <c r="L196" s="756"/>
      <c r="M196" s="154"/>
      <c r="N196" s="154"/>
      <c r="O196" s="154"/>
    </row>
    <row r="197" spans="1:15" s="488" customFormat="1" outlineLevel="1">
      <c r="A197" s="3"/>
      <c r="B197" s="491"/>
      <c r="C197" s="480" t="s">
        <v>86</v>
      </c>
      <c r="D197" s="481"/>
      <c r="E197" s="482" t="s">
        <v>149</v>
      </c>
      <c r="F197" s="482" t="s">
        <v>76</v>
      </c>
      <c r="G197" s="482">
        <v>0.25</v>
      </c>
      <c r="H197" s="174">
        <f>VLOOKUP(C197,'UPAH-BAHAN'!D:F,2,0)</f>
        <v>160000</v>
      </c>
      <c r="I197" s="493">
        <f>G197*H197</f>
        <v>40000</v>
      </c>
      <c r="J197" s="172"/>
      <c r="K197" s="154"/>
      <c r="L197" s="756"/>
      <c r="M197" s="154"/>
      <c r="N197" s="154"/>
      <c r="O197" s="154"/>
    </row>
    <row r="198" spans="1:15" s="488" customFormat="1" outlineLevel="1">
      <c r="A198" s="3"/>
      <c r="B198" s="491"/>
      <c r="C198" s="480" t="s">
        <v>79</v>
      </c>
      <c r="D198" s="481"/>
      <c r="E198" s="482" t="s">
        <v>150</v>
      </c>
      <c r="F198" s="482" t="s">
        <v>76</v>
      </c>
      <c r="G198" s="482">
        <v>2.5000000000000001E-2</v>
      </c>
      <c r="H198" s="174">
        <f>VLOOKUP(C198,'UPAH-BAHAN'!D:F,2,0)</f>
        <v>170000</v>
      </c>
      <c r="I198" s="493">
        <f>G198*H198</f>
        <v>4250</v>
      </c>
      <c r="J198" s="172"/>
      <c r="K198" s="154"/>
      <c r="L198" s="756"/>
      <c r="M198" s="154"/>
      <c r="N198" s="154"/>
      <c r="O198" s="154"/>
    </row>
    <row r="199" spans="1:15" s="488" customFormat="1" outlineLevel="1">
      <c r="A199" s="3"/>
      <c r="B199" s="491"/>
      <c r="C199" s="480" t="s">
        <v>80</v>
      </c>
      <c r="D199" s="481"/>
      <c r="E199" s="482" t="s">
        <v>151</v>
      </c>
      <c r="F199" s="482" t="s">
        <v>76</v>
      </c>
      <c r="G199" s="482">
        <v>0.05</v>
      </c>
      <c r="H199" s="174">
        <f>VLOOKUP(C199,'UPAH-BAHAN'!D:F,2,0)</f>
        <v>225000</v>
      </c>
      <c r="I199" s="493">
        <f>G199*H199</f>
        <v>11250</v>
      </c>
      <c r="J199" s="172"/>
      <c r="K199" s="154"/>
      <c r="L199" s="756"/>
      <c r="M199" s="154"/>
      <c r="N199" s="154"/>
      <c r="O199" s="154"/>
    </row>
    <row r="200" spans="1:15" s="488" customFormat="1" outlineLevel="1">
      <c r="A200" s="3"/>
      <c r="B200" s="491"/>
      <c r="C200" s="480"/>
      <c r="D200" s="481"/>
      <c r="E200" s="484"/>
      <c r="F200" s="484"/>
      <c r="G200" s="708" t="s">
        <v>171</v>
      </c>
      <c r="H200" s="494"/>
      <c r="I200" s="493">
        <f>SUM(I196:I199)</f>
        <v>175500</v>
      </c>
      <c r="J200" s="172"/>
      <c r="K200" s="154"/>
      <c r="L200" s="756"/>
      <c r="M200" s="154"/>
      <c r="N200" s="154"/>
      <c r="O200" s="154"/>
    </row>
    <row r="201" spans="1:15" s="488" customFormat="1" outlineLevel="1">
      <c r="A201" s="3"/>
      <c r="B201" s="491" t="s">
        <v>153</v>
      </c>
      <c r="C201" s="480" t="s">
        <v>154</v>
      </c>
      <c r="D201" s="481"/>
      <c r="E201" s="484"/>
      <c r="F201" s="484"/>
      <c r="G201" s="484"/>
      <c r="H201" s="493"/>
      <c r="I201" s="493"/>
      <c r="J201" s="172"/>
      <c r="K201" s="154"/>
      <c r="L201" s="756"/>
      <c r="M201" s="154"/>
      <c r="N201" s="154"/>
      <c r="O201" s="154"/>
    </row>
    <row r="202" spans="1:15" s="488" customFormat="1" outlineLevel="1">
      <c r="A202" s="3"/>
      <c r="B202" s="491"/>
      <c r="C202" s="480" t="s">
        <v>124</v>
      </c>
      <c r="D202" s="481"/>
      <c r="E202" s="484"/>
      <c r="F202" s="482" t="s">
        <v>64</v>
      </c>
      <c r="G202" s="482">
        <v>371</v>
      </c>
      <c r="H202" s="174">
        <f>VLOOKUP(C202,'UPAH-BAHAN'!D:F,2,0)</f>
        <v>1700</v>
      </c>
      <c r="I202" s="495">
        <f>G202*H202</f>
        <v>630700</v>
      </c>
      <c r="J202" s="172"/>
      <c r="K202" s="154"/>
      <c r="L202" s="756"/>
      <c r="M202" s="154"/>
      <c r="N202" s="154"/>
      <c r="O202" s="154"/>
    </row>
    <row r="203" spans="1:15" s="488" customFormat="1" outlineLevel="1">
      <c r="A203" s="3"/>
      <c r="B203" s="491"/>
      <c r="C203" s="480" t="s">
        <v>169</v>
      </c>
      <c r="D203" s="481"/>
      <c r="E203" s="484"/>
      <c r="F203" s="482" t="s">
        <v>64</v>
      </c>
      <c r="G203" s="482">
        <v>698</v>
      </c>
      <c r="H203" s="174">
        <f>VLOOKUP(C203,'UPAH-BAHAN'!D:F,2,0)</f>
        <v>107.14285714285714</v>
      </c>
      <c r="I203" s="495">
        <f>G203*H203</f>
        <v>74785.71428571429</v>
      </c>
      <c r="J203" s="172"/>
      <c r="K203" s="154"/>
      <c r="L203" s="756"/>
      <c r="M203" s="154"/>
      <c r="N203" s="154"/>
      <c r="O203" s="154"/>
    </row>
    <row r="204" spans="1:15" s="488" customFormat="1" outlineLevel="1">
      <c r="A204" s="3"/>
      <c r="B204" s="491"/>
      <c r="C204" s="480" t="s">
        <v>104</v>
      </c>
      <c r="D204" s="481"/>
      <c r="E204" s="484"/>
      <c r="F204" s="482" t="s">
        <v>64</v>
      </c>
      <c r="G204" s="482">
        <v>1047</v>
      </c>
      <c r="H204" s="174">
        <f>VLOOKUP(C204,'UPAH-BAHAN'!D:F,2,0)</f>
        <v>346.15384615384613</v>
      </c>
      <c r="I204" s="495">
        <f>G204*H204</f>
        <v>362423.07692307688</v>
      </c>
      <c r="J204" s="172"/>
      <c r="K204" s="154"/>
      <c r="L204" s="756"/>
      <c r="M204" s="154"/>
      <c r="N204" s="154"/>
      <c r="O204" s="154"/>
    </row>
    <row r="205" spans="1:15" s="488" customFormat="1" outlineLevel="1">
      <c r="A205" s="3"/>
      <c r="B205" s="491"/>
      <c r="C205" s="480" t="s">
        <v>93</v>
      </c>
      <c r="D205" s="481"/>
      <c r="E205" s="484"/>
      <c r="F205" s="482" t="s">
        <v>100</v>
      </c>
      <c r="G205" s="482">
        <v>215</v>
      </c>
      <c r="H205" s="174">
        <f>VLOOKUP(C205,'UPAH-BAHAN'!D:F,2,0)</f>
        <v>0</v>
      </c>
      <c r="I205" s="495">
        <f>G205*H205</f>
        <v>0</v>
      </c>
      <c r="J205" s="172"/>
      <c r="K205" s="154"/>
      <c r="L205" s="756"/>
      <c r="M205" s="154"/>
      <c r="N205" s="154"/>
      <c r="O205" s="154"/>
    </row>
    <row r="206" spans="1:15" s="488" customFormat="1" outlineLevel="1">
      <c r="A206" s="3"/>
      <c r="B206" s="491"/>
      <c r="C206" s="496"/>
      <c r="D206" s="481"/>
      <c r="E206" s="484"/>
      <c r="F206" s="484"/>
      <c r="G206" s="708" t="s">
        <v>172</v>
      </c>
      <c r="H206" s="494"/>
      <c r="I206" s="495">
        <f>SUM(I202:I205)</f>
        <v>1067908.7912087911</v>
      </c>
      <c r="J206" s="172"/>
      <c r="K206" s="154"/>
      <c r="L206" s="756"/>
      <c r="M206" s="154"/>
      <c r="N206" s="154"/>
      <c r="O206" s="154"/>
    </row>
    <row r="207" spans="1:15" s="488" customFormat="1" outlineLevel="1">
      <c r="A207" s="3"/>
      <c r="B207" s="491" t="s">
        <v>157</v>
      </c>
      <c r="C207" s="480" t="s">
        <v>158</v>
      </c>
      <c r="D207" s="481"/>
      <c r="E207" s="484"/>
      <c r="F207" s="484"/>
      <c r="G207" s="484"/>
      <c r="H207" s="493"/>
      <c r="I207" s="493"/>
      <c r="J207" s="172"/>
      <c r="K207" s="154"/>
      <c r="L207" s="756"/>
      <c r="M207" s="154"/>
      <c r="N207" s="154"/>
      <c r="O207" s="154"/>
    </row>
    <row r="208" spans="1:15" s="488" customFormat="1" outlineLevel="1">
      <c r="A208" s="3"/>
      <c r="B208" s="491"/>
      <c r="C208" s="480"/>
      <c r="D208" s="481"/>
      <c r="E208" s="484"/>
      <c r="F208" s="484"/>
      <c r="G208" s="708" t="s">
        <v>159</v>
      </c>
      <c r="H208" s="494"/>
      <c r="I208" s="493"/>
      <c r="J208" s="172"/>
      <c r="K208" s="154"/>
      <c r="L208" s="756"/>
      <c r="M208" s="154"/>
      <c r="N208" s="154"/>
      <c r="O208" s="154"/>
    </row>
    <row r="209" spans="1:15" s="488" customFormat="1" outlineLevel="1">
      <c r="A209" s="3"/>
      <c r="B209" s="491"/>
      <c r="C209" s="496"/>
      <c r="D209" s="481"/>
      <c r="E209" s="484"/>
      <c r="F209" s="484"/>
      <c r="G209" s="484"/>
      <c r="H209" s="493"/>
      <c r="I209" s="493"/>
      <c r="J209" s="172"/>
      <c r="K209" s="154"/>
      <c r="L209" s="756"/>
      <c r="M209" s="154"/>
      <c r="N209" s="154"/>
      <c r="O209" s="154"/>
    </row>
    <row r="210" spans="1:15" s="488" customFormat="1" outlineLevel="1">
      <c r="A210" s="3"/>
      <c r="B210" s="491" t="s">
        <v>160</v>
      </c>
      <c r="C210" s="480" t="s">
        <v>161</v>
      </c>
      <c r="D210" s="481"/>
      <c r="E210" s="747"/>
      <c r="F210" s="497"/>
      <c r="G210" s="482"/>
      <c r="H210" s="493"/>
      <c r="I210" s="495">
        <f>I208+I206+I200</f>
        <v>1243408.7912087911</v>
      </c>
      <c r="J210" s="172"/>
      <c r="K210" s="154"/>
      <c r="L210" s="756"/>
      <c r="M210" s="154"/>
      <c r="N210" s="154"/>
      <c r="O210" s="154"/>
    </row>
    <row r="211" spans="1:15" s="488" customFormat="1" outlineLevel="1">
      <c r="A211" s="3"/>
      <c r="B211" s="491" t="s">
        <v>162</v>
      </c>
      <c r="C211" s="480" t="s">
        <v>82</v>
      </c>
      <c r="D211" s="481"/>
      <c r="E211" s="492"/>
      <c r="F211" s="492"/>
      <c r="G211" s="180">
        <f>$J$3</f>
        <v>0.15</v>
      </c>
      <c r="H211" s="492"/>
      <c r="I211" s="493">
        <f>I210*G211</f>
        <v>186511.31868131866</v>
      </c>
      <c r="J211" s="172"/>
      <c r="K211" s="154"/>
      <c r="L211" s="756"/>
      <c r="M211" s="154"/>
      <c r="N211" s="154"/>
      <c r="O211" s="154"/>
    </row>
    <row r="212" spans="1:15" s="488" customFormat="1" outlineLevel="1">
      <c r="A212" s="3"/>
      <c r="B212" s="491" t="s">
        <v>163</v>
      </c>
      <c r="C212" s="480" t="s">
        <v>164</v>
      </c>
      <c r="D212" s="481"/>
      <c r="E212" s="492"/>
      <c r="F212" s="492"/>
      <c r="G212" s="482"/>
      <c r="H212" s="493"/>
      <c r="I212" s="495">
        <f>I210+I211</f>
        <v>1429920.1098901099</v>
      </c>
      <c r="J212" s="172"/>
      <c r="K212" s="154"/>
      <c r="L212" s="756"/>
      <c r="M212" s="154"/>
      <c r="N212" s="154"/>
      <c r="O212" s="154"/>
    </row>
    <row r="213" spans="1:15" s="488" customFormat="1" outlineLevel="1">
      <c r="A213" s="3"/>
      <c r="B213" s="498"/>
      <c r="C213" s="2"/>
      <c r="D213" s="499"/>
      <c r="E213" s="499"/>
      <c r="F213" s="499"/>
      <c r="G213" s="649"/>
      <c r="H213" s="500"/>
      <c r="I213" s="501"/>
      <c r="J213" s="172"/>
      <c r="K213" s="154"/>
      <c r="L213" s="756"/>
      <c r="M213" s="154"/>
      <c r="N213" s="154"/>
      <c r="O213" s="154"/>
    </row>
    <row r="214" spans="1:15">
      <c r="A214" s="167" t="str">
        <f>B214</f>
        <v>A.4.1.1.11.</v>
      </c>
      <c r="B214" s="159" t="s">
        <v>439</v>
      </c>
      <c r="D214" s="167" t="s">
        <v>438</v>
      </c>
      <c r="E214" s="163"/>
      <c r="F214" s="163"/>
      <c r="G214" s="163"/>
      <c r="J214" s="172">
        <f>I233</f>
        <v>1342419.010989011</v>
      </c>
    </row>
    <row r="215" spans="1:15" s="488" customFormat="1" ht="31.2" outlineLevel="1">
      <c r="A215" s="13"/>
      <c r="B215" s="489" t="s">
        <v>75</v>
      </c>
      <c r="C215" s="1256" t="s">
        <v>140</v>
      </c>
      <c r="D215" s="1257"/>
      <c r="E215" s="490" t="s">
        <v>141</v>
      </c>
      <c r="F215" s="490" t="s">
        <v>142</v>
      </c>
      <c r="G215" s="490" t="s">
        <v>143</v>
      </c>
      <c r="H215" s="482" t="s">
        <v>144</v>
      </c>
      <c r="I215" s="482" t="s">
        <v>145</v>
      </c>
      <c r="J215" s="172"/>
      <c r="K215" s="154"/>
      <c r="L215" s="756"/>
      <c r="M215" s="154"/>
      <c r="N215" s="154"/>
      <c r="O215" s="154"/>
    </row>
    <row r="216" spans="1:15" s="488" customFormat="1" outlineLevel="1">
      <c r="A216" s="3"/>
      <c r="B216" s="491" t="s">
        <v>146</v>
      </c>
      <c r="C216" s="480" t="s">
        <v>147</v>
      </c>
      <c r="D216" s="481"/>
      <c r="E216" s="484"/>
      <c r="F216" s="484"/>
      <c r="G216" s="484"/>
      <c r="H216" s="492"/>
      <c r="I216" s="492"/>
      <c r="J216" s="172"/>
      <c r="K216" s="154"/>
      <c r="L216" s="756"/>
      <c r="M216" s="154"/>
      <c r="N216" s="154"/>
      <c r="O216" s="154"/>
    </row>
    <row r="217" spans="1:15" s="488" customFormat="1" outlineLevel="1">
      <c r="A217" s="3"/>
      <c r="B217" s="491"/>
      <c r="C217" s="480" t="s">
        <v>77</v>
      </c>
      <c r="D217" s="481"/>
      <c r="E217" s="482" t="s">
        <v>148</v>
      </c>
      <c r="F217" s="482" t="s">
        <v>76</v>
      </c>
      <c r="G217" s="483">
        <v>1</v>
      </c>
      <c r="H217" s="174">
        <f>VLOOKUP(C217,'UPAH-BAHAN'!D:F,2,0)</f>
        <v>120000</v>
      </c>
      <c r="I217" s="493">
        <f>G217*H217</f>
        <v>120000</v>
      </c>
      <c r="J217" s="172"/>
      <c r="K217" s="154"/>
      <c r="L217" s="756"/>
      <c r="M217" s="154"/>
      <c r="N217" s="154"/>
      <c r="O217" s="154"/>
    </row>
    <row r="218" spans="1:15" s="488" customFormat="1" outlineLevel="1">
      <c r="A218" s="3"/>
      <c r="B218" s="491"/>
      <c r="C218" s="480" t="s">
        <v>86</v>
      </c>
      <c r="D218" s="481"/>
      <c r="E218" s="482" t="s">
        <v>149</v>
      </c>
      <c r="F218" s="482" t="s">
        <v>76</v>
      </c>
      <c r="G218" s="482">
        <v>0.25</v>
      </c>
      <c r="H218" s="174">
        <f>VLOOKUP(C218,'UPAH-BAHAN'!D:F,2,0)</f>
        <v>160000</v>
      </c>
      <c r="I218" s="493">
        <f>G218*H218</f>
        <v>40000</v>
      </c>
      <c r="J218" s="172"/>
      <c r="K218" s="154"/>
      <c r="L218" s="756"/>
      <c r="M218" s="154"/>
      <c r="N218" s="154"/>
      <c r="O218" s="154"/>
    </row>
    <row r="219" spans="1:15" s="488" customFormat="1" outlineLevel="1">
      <c r="A219" s="3"/>
      <c r="B219" s="491"/>
      <c r="C219" s="480" t="s">
        <v>79</v>
      </c>
      <c r="D219" s="481"/>
      <c r="E219" s="482" t="s">
        <v>150</v>
      </c>
      <c r="F219" s="482" t="s">
        <v>76</v>
      </c>
      <c r="G219" s="482">
        <v>2.5000000000000001E-2</v>
      </c>
      <c r="H219" s="174">
        <f>VLOOKUP(C219,'UPAH-BAHAN'!D:F,2,0)</f>
        <v>170000</v>
      </c>
      <c r="I219" s="493">
        <f>G219*H219</f>
        <v>4250</v>
      </c>
      <c r="J219" s="172"/>
      <c r="K219" s="154"/>
      <c r="L219" s="756"/>
      <c r="M219" s="154"/>
      <c r="N219" s="154"/>
      <c r="O219" s="154"/>
    </row>
    <row r="220" spans="1:15" s="488" customFormat="1" outlineLevel="1">
      <c r="A220" s="3"/>
      <c r="B220" s="491"/>
      <c r="C220" s="480" t="s">
        <v>80</v>
      </c>
      <c r="D220" s="481"/>
      <c r="E220" s="482" t="s">
        <v>151</v>
      </c>
      <c r="F220" s="482" t="s">
        <v>76</v>
      </c>
      <c r="G220" s="482">
        <v>0.05</v>
      </c>
      <c r="H220" s="174">
        <f>VLOOKUP(C220,'UPAH-BAHAN'!D:F,2,0)</f>
        <v>225000</v>
      </c>
      <c r="I220" s="493">
        <f>G220*H220</f>
        <v>11250</v>
      </c>
      <c r="J220" s="172"/>
      <c r="K220" s="154"/>
      <c r="L220" s="756"/>
      <c r="M220" s="154"/>
      <c r="N220" s="154"/>
      <c r="O220" s="154"/>
    </row>
    <row r="221" spans="1:15" s="488" customFormat="1" outlineLevel="1">
      <c r="A221" s="3"/>
      <c r="B221" s="491"/>
      <c r="C221" s="480"/>
      <c r="D221" s="481"/>
      <c r="E221" s="484"/>
      <c r="F221" s="484"/>
      <c r="G221" s="708" t="s">
        <v>171</v>
      </c>
      <c r="H221" s="494"/>
      <c r="I221" s="493">
        <f>SUM(I217:I220)</f>
        <v>175500</v>
      </c>
      <c r="J221" s="172"/>
      <c r="K221" s="154"/>
      <c r="L221" s="756"/>
      <c r="M221" s="154"/>
      <c r="N221" s="154"/>
      <c r="O221" s="154"/>
    </row>
    <row r="222" spans="1:15" s="488" customFormat="1" outlineLevel="1">
      <c r="A222" s="3"/>
      <c r="B222" s="491" t="s">
        <v>153</v>
      </c>
      <c r="C222" s="480" t="s">
        <v>154</v>
      </c>
      <c r="D222" s="481"/>
      <c r="E222" s="484"/>
      <c r="F222" s="484"/>
      <c r="G222" s="484"/>
      <c r="H222" s="493"/>
      <c r="I222" s="493"/>
      <c r="J222" s="172"/>
      <c r="K222" s="154"/>
      <c r="L222" s="756"/>
      <c r="M222" s="154"/>
      <c r="N222" s="154"/>
      <c r="O222" s="154"/>
    </row>
    <row r="223" spans="1:15" s="488" customFormat="1" outlineLevel="1">
      <c r="A223" s="3"/>
      <c r="B223" s="491"/>
      <c r="C223" s="480" t="s">
        <v>124</v>
      </c>
      <c r="D223" s="481"/>
      <c r="E223" s="484"/>
      <c r="F223" s="482" t="s">
        <v>64</v>
      </c>
      <c r="G223" s="482">
        <v>326</v>
      </c>
      <c r="H223" s="174">
        <f>VLOOKUP(C223,'UPAH-BAHAN'!D:F,2,0)</f>
        <v>1700</v>
      </c>
      <c r="I223" s="495">
        <f>G223*H223</f>
        <v>554200</v>
      </c>
      <c r="J223" s="172"/>
      <c r="K223" s="154"/>
      <c r="L223" s="756"/>
      <c r="M223" s="154"/>
      <c r="N223" s="154"/>
      <c r="O223" s="154"/>
    </row>
    <row r="224" spans="1:15" s="488" customFormat="1" outlineLevel="1">
      <c r="A224" s="3"/>
      <c r="B224" s="491"/>
      <c r="C224" s="480" t="s">
        <v>169</v>
      </c>
      <c r="D224" s="481"/>
      <c r="E224" s="484"/>
      <c r="F224" s="482" t="s">
        <v>64</v>
      </c>
      <c r="G224" s="482">
        <v>760</v>
      </c>
      <c r="H224" s="174">
        <f>VLOOKUP(C224,'UPAH-BAHAN'!D:F,2,0)</f>
        <v>107.14285714285714</v>
      </c>
      <c r="I224" s="495">
        <f>G224*H224</f>
        <v>81428.57142857142</v>
      </c>
      <c r="J224" s="172"/>
      <c r="K224" s="154"/>
      <c r="L224" s="756"/>
      <c r="M224" s="154"/>
      <c r="N224" s="154"/>
      <c r="O224" s="154"/>
    </row>
    <row r="225" spans="1:15" s="488" customFormat="1" outlineLevel="1">
      <c r="A225" s="3"/>
      <c r="B225" s="491"/>
      <c r="C225" s="480" t="s">
        <v>104</v>
      </c>
      <c r="D225" s="481"/>
      <c r="E225" s="484"/>
      <c r="F225" s="482" t="s">
        <v>64</v>
      </c>
      <c r="G225" s="482">
        <v>1029</v>
      </c>
      <c r="H225" s="174">
        <f>VLOOKUP(C225,'UPAH-BAHAN'!D:F,2,0)</f>
        <v>346.15384615384613</v>
      </c>
      <c r="I225" s="495">
        <f>G225*H225</f>
        <v>356192.30769230769</v>
      </c>
      <c r="J225" s="172"/>
      <c r="K225" s="154"/>
      <c r="L225" s="756"/>
      <c r="M225" s="154"/>
      <c r="N225" s="154"/>
      <c r="O225" s="154"/>
    </row>
    <row r="226" spans="1:15" s="488" customFormat="1" outlineLevel="1">
      <c r="A226" s="3"/>
      <c r="B226" s="491"/>
      <c r="C226" s="480" t="s">
        <v>93</v>
      </c>
      <c r="D226" s="481"/>
      <c r="E226" s="484"/>
      <c r="F226" s="482" t="s">
        <v>100</v>
      </c>
      <c r="G226" s="482">
        <v>215</v>
      </c>
      <c r="H226" s="174">
        <f>VLOOKUP(C226,'UPAH-BAHAN'!D:F,2,0)</f>
        <v>0</v>
      </c>
      <c r="I226" s="495">
        <f>G226*H226</f>
        <v>0</v>
      </c>
      <c r="J226" s="172"/>
      <c r="K226" s="154"/>
      <c r="L226" s="756"/>
      <c r="M226" s="154"/>
      <c r="N226" s="154"/>
      <c r="O226" s="154"/>
    </row>
    <row r="227" spans="1:15" s="488" customFormat="1" outlineLevel="1">
      <c r="A227" s="3"/>
      <c r="B227" s="491"/>
      <c r="C227" s="496"/>
      <c r="D227" s="481"/>
      <c r="E227" s="484"/>
      <c r="F227" s="484"/>
      <c r="G227" s="708" t="s">
        <v>172</v>
      </c>
      <c r="H227" s="494"/>
      <c r="I227" s="495">
        <f>SUM(I223:I226)</f>
        <v>991820.87912087911</v>
      </c>
      <c r="J227" s="172"/>
      <c r="K227" s="154"/>
      <c r="L227" s="756"/>
      <c r="M227" s="154"/>
      <c r="N227" s="154"/>
      <c r="O227" s="154"/>
    </row>
    <row r="228" spans="1:15" s="488" customFormat="1" outlineLevel="1">
      <c r="A228" s="3"/>
      <c r="B228" s="491" t="s">
        <v>157</v>
      </c>
      <c r="C228" s="480" t="s">
        <v>158</v>
      </c>
      <c r="D228" s="481"/>
      <c r="E228" s="484"/>
      <c r="F228" s="484"/>
      <c r="G228" s="484"/>
      <c r="H228" s="493"/>
      <c r="I228" s="493"/>
      <c r="J228" s="172"/>
      <c r="K228" s="154"/>
      <c r="L228" s="756"/>
      <c r="M228" s="154"/>
      <c r="N228" s="154"/>
      <c r="O228" s="154"/>
    </row>
    <row r="229" spans="1:15" s="488" customFormat="1" outlineLevel="1">
      <c r="A229" s="3"/>
      <c r="B229" s="491"/>
      <c r="C229" s="480"/>
      <c r="D229" s="481"/>
      <c r="E229" s="484"/>
      <c r="F229" s="484"/>
      <c r="G229" s="708" t="s">
        <v>159</v>
      </c>
      <c r="H229" s="494"/>
      <c r="I229" s="493"/>
      <c r="J229" s="172"/>
      <c r="K229" s="154"/>
      <c r="L229" s="756"/>
      <c r="M229" s="154"/>
      <c r="N229" s="154"/>
      <c r="O229" s="154"/>
    </row>
    <row r="230" spans="1:15" s="488" customFormat="1" outlineLevel="1">
      <c r="A230" s="3"/>
      <c r="B230" s="491"/>
      <c r="C230" s="496"/>
      <c r="D230" s="481"/>
      <c r="E230" s="484"/>
      <c r="F230" s="484"/>
      <c r="G230" s="484"/>
      <c r="H230" s="493"/>
      <c r="I230" s="493"/>
      <c r="J230" s="172"/>
      <c r="K230" s="154"/>
      <c r="L230" s="756"/>
      <c r="M230" s="154"/>
      <c r="N230" s="154"/>
      <c r="O230" s="154"/>
    </row>
    <row r="231" spans="1:15" s="488" customFormat="1" outlineLevel="1">
      <c r="A231" s="3"/>
      <c r="B231" s="491" t="s">
        <v>160</v>
      </c>
      <c r="C231" s="480" t="s">
        <v>161</v>
      </c>
      <c r="D231" s="481"/>
      <c r="E231" s="747"/>
      <c r="F231" s="497"/>
      <c r="G231" s="482"/>
      <c r="H231" s="493"/>
      <c r="I231" s="495">
        <f>I229+I227+I221</f>
        <v>1167320.8791208791</v>
      </c>
      <c r="J231" s="172"/>
      <c r="K231" s="154"/>
      <c r="L231" s="756"/>
      <c r="M231" s="154"/>
      <c r="N231" s="154"/>
      <c r="O231" s="154"/>
    </row>
    <row r="232" spans="1:15" s="488" customFormat="1" outlineLevel="1">
      <c r="A232" s="3"/>
      <c r="B232" s="491" t="s">
        <v>162</v>
      </c>
      <c r="C232" s="480" t="s">
        <v>82</v>
      </c>
      <c r="D232" s="481"/>
      <c r="E232" s="492"/>
      <c r="F232" s="492"/>
      <c r="G232" s="180">
        <f>$J$3</f>
        <v>0.15</v>
      </c>
      <c r="H232" s="492"/>
      <c r="I232" s="493">
        <f>I231*G232</f>
        <v>175098.13186813187</v>
      </c>
      <c r="J232" s="172"/>
      <c r="K232" s="154"/>
      <c r="L232" s="756"/>
      <c r="M232" s="154"/>
      <c r="N232" s="154"/>
      <c r="O232" s="154"/>
    </row>
    <row r="233" spans="1:15" s="488" customFormat="1" outlineLevel="1">
      <c r="A233" s="3"/>
      <c r="B233" s="491" t="s">
        <v>163</v>
      </c>
      <c r="C233" s="480" t="s">
        <v>164</v>
      </c>
      <c r="D233" s="481"/>
      <c r="E233" s="492"/>
      <c r="F233" s="492"/>
      <c r="G233" s="482"/>
      <c r="H233" s="493"/>
      <c r="I233" s="495">
        <f>I231+I232</f>
        <v>1342419.010989011</v>
      </c>
      <c r="J233" s="172"/>
      <c r="K233" s="154"/>
      <c r="L233" s="756"/>
      <c r="M233" s="154"/>
      <c r="N233" s="154"/>
      <c r="O233" s="154"/>
    </row>
    <row r="234" spans="1:15" s="488" customFormat="1" outlineLevel="1">
      <c r="A234" s="3"/>
      <c r="B234" s="498"/>
      <c r="C234" s="2"/>
      <c r="D234" s="499"/>
      <c r="E234" s="499"/>
      <c r="F234" s="499"/>
      <c r="G234" s="649"/>
      <c r="H234" s="500"/>
      <c r="I234" s="501"/>
      <c r="J234" s="172"/>
      <c r="K234" s="154"/>
      <c r="L234" s="756"/>
      <c r="M234" s="154"/>
      <c r="N234" s="154"/>
      <c r="O234" s="154"/>
    </row>
    <row r="235" spans="1:15">
      <c r="A235" s="167" t="str">
        <f>B235</f>
        <v>A.4.1.1.17.</v>
      </c>
      <c r="B235" s="159" t="s">
        <v>105</v>
      </c>
      <c r="D235" s="167" t="s">
        <v>205</v>
      </c>
      <c r="E235" s="163"/>
      <c r="F235" s="163"/>
      <c r="G235" s="163"/>
      <c r="J235" s="172">
        <f>I253</f>
        <v>19744.349999999999</v>
      </c>
    </row>
    <row r="236" spans="1:15" ht="31.2" outlineLevel="1">
      <c r="A236" s="163"/>
      <c r="B236" s="164" t="s">
        <v>75</v>
      </c>
      <c r="C236" s="1254" t="s">
        <v>140</v>
      </c>
      <c r="D236" s="1255"/>
      <c r="E236" s="164" t="s">
        <v>141</v>
      </c>
      <c r="F236" s="164" t="s">
        <v>142</v>
      </c>
      <c r="G236" s="164" t="s">
        <v>143</v>
      </c>
      <c r="H236" s="165" t="s">
        <v>144</v>
      </c>
      <c r="I236" s="165" t="s">
        <v>145</v>
      </c>
    </row>
    <row r="237" spans="1:15" outlineLevel="1">
      <c r="B237" s="165" t="s">
        <v>146</v>
      </c>
      <c r="C237" s="168" t="s">
        <v>147</v>
      </c>
      <c r="D237" s="169"/>
      <c r="E237" s="165"/>
      <c r="F237" s="165"/>
      <c r="G237" s="165"/>
      <c r="H237" s="171"/>
      <c r="I237" s="171"/>
    </row>
    <row r="238" spans="1:15" outlineLevel="1">
      <c r="B238" s="165"/>
      <c r="C238" s="168" t="s">
        <v>77</v>
      </c>
      <c r="D238" s="169"/>
      <c r="E238" s="165" t="s">
        <v>148</v>
      </c>
      <c r="F238" s="165" t="s">
        <v>76</v>
      </c>
      <c r="G238" s="165">
        <v>7.0000000000000007E-2</v>
      </c>
      <c r="H238" s="174">
        <f>VLOOKUP(C238,'UPAH-BAHAN'!D:F,2,0)</f>
        <v>120000</v>
      </c>
      <c r="I238" s="192">
        <f>G238*H238</f>
        <v>8400</v>
      </c>
    </row>
    <row r="239" spans="1:15" outlineLevel="1">
      <c r="B239" s="165"/>
      <c r="C239" s="168" t="s">
        <v>106</v>
      </c>
      <c r="D239" s="169"/>
      <c r="E239" s="165" t="s">
        <v>149</v>
      </c>
      <c r="F239" s="165" t="s">
        <v>76</v>
      </c>
      <c r="G239" s="165">
        <v>7.0000000000000007E-2</v>
      </c>
      <c r="H239" s="174">
        <f>VLOOKUP(C239,'UPAH-BAHAN'!D:F,2,0)</f>
        <v>160000</v>
      </c>
      <c r="I239" s="192">
        <f>G239*H239</f>
        <v>11200.000000000002</v>
      </c>
    </row>
    <row r="240" spans="1:15" outlineLevel="1">
      <c r="B240" s="165"/>
      <c r="C240" s="168" t="s">
        <v>79</v>
      </c>
      <c r="D240" s="169"/>
      <c r="E240" s="165" t="s">
        <v>150</v>
      </c>
      <c r="F240" s="165" t="s">
        <v>76</v>
      </c>
      <c r="G240" s="165">
        <v>7.0000000000000001E-3</v>
      </c>
      <c r="H240" s="174">
        <f>VLOOKUP(C240,'UPAH-BAHAN'!D:F,2,0)</f>
        <v>170000</v>
      </c>
      <c r="I240" s="192">
        <f>G240*H240</f>
        <v>1190</v>
      </c>
    </row>
    <row r="241" spans="1:15" outlineLevel="1">
      <c r="B241" s="165"/>
      <c r="C241" s="168" t="s">
        <v>80</v>
      </c>
      <c r="D241" s="169"/>
      <c r="E241" s="165" t="s">
        <v>151</v>
      </c>
      <c r="F241" s="165" t="s">
        <v>76</v>
      </c>
      <c r="G241" s="165">
        <v>4.0000000000000001E-3</v>
      </c>
      <c r="H241" s="174">
        <f>VLOOKUP(C241,'UPAH-BAHAN'!D:F,2,0)</f>
        <v>225000</v>
      </c>
      <c r="I241" s="192">
        <f>G241*H241</f>
        <v>900</v>
      </c>
    </row>
    <row r="242" spans="1:15" outlineLevel="1">
      <c r="B242" s="165"/>
      <c r="C242" s="168"/>
      <c r="D242" s="169"/>
      <c r="E242" s="170"/>
      <c r="F242" s="170"/>
      <c r="G242" s="340" t="s">
        <v>173</v>
      </c>
      <c r="H242" s="177"/>
      <c r="I242" s="192">
        <f>SUM(I238:I241)</f>
        <v>21690</v>
      </c>
    </row>
    <row r="243" spans="1:15" outlineLevel="1">
      <c r="B243" s="165" t="s">
        <v>153</v>
      </c>
      <c r="C243" s="168" t="s">
        <v>154</v>
      </c>
      <c r="D243" s="169"/>
      <c r="E243" s="170"/>
      <c r="F243" s="170"/>
      <c r="G243" s="170"/>
      <c r="H243" s="175"/>
      <c r="I243" s="175"/>
    </row>
    <row r="244" spans="1:15" outlineLevel="1">
      <c r="B244" s="165"/>
      <c r="C244" s="168" t="s">
        <v>102</v>
      </c>
      <c r="D244" s="169"/>
      <c r="E244" s="170"/>
      <c r="F244" s="165" t="s">
        <v>64</v>
      </c>
      <c r="G244" s="165">
        <f>10.5</f>
        <v>10.5</v>
      </c>
      <c r="H244" s="174">
        <f>VLOOKUP(C244,'UPAH-BAHAN'!D:F,2,0)</f>
        <v>14000</v>
      </c>
      <c r="I244" s="175">
        <f>G244*H244</f>
        <v>147000</v>
      </c>
    </row>
    <row r="245" spans="1:15" outlineLevel="1">
      <c r="B245" s="165"/>
      <c r="C245" s="168" t="s">
        <v>103</v>
      </c>
      <c r="D245" s="169"/>
      <c r="E245" s="170"/>
      <c r="F245" s="165" t="s">
        <v>64</v>
      </c>
      <c r="G245" s="165">
        <v>0.15</v>
      </c>
      <c r="H245" s="174">
        <f>VLOOKUP(C245,'UPAH-BAHAN'!D:F,2,0)</f>
        <v>20000</v>
      </c>
      <c r="I245" s="175">
        <f>G245*H245</f>
        <v>3000</v>
      </c>
    </row>
    <row r="246" spans="1:15" outlineLevel="1">
      <c r="B246" s="165"/>
      <c r="C246" s="168"/>
      <c r="D246" s="169"/>
      <c r="E246" s="170"/>
      <c r="F246" s="170"/>
      <c r="G246" s="340" t="s">
        <v>172</v>
      </c>
      <c r="H246" s="175"/>
      <c r="I246" s="175">
        <f>SUM(I244:I245)</f>
        <v>150000</v>
      </c>
    </row>
    <row r="247" spans="1:15" outlineLevel="1">
      <c r="B247" s="165" t="s">
        <v>157</v>
      </c>
      <c r="C247" s="168" t="s">
        <v>158</v>
      </c>
      <c r="D247" s="169"/>
      <c r="E247" s="170"/>
      <c r="F247" s="170"/>
      <c r="G247" s="170"/>
      <c r="H247" s="175"/>
      <c r="I247" s="175"/>
    </row>
    <row r="248" spans="1:15" outlineLevel="1">
      <c r="B248" s="165"/>
      <c r="C248" s="176"/>
      <c r="D248" s="169"/>
      <c r="E248" s="170"/>
      <c r="F248" s="170"/>
      <c r="G248" s="340" t="s">
        <v>159</v>
      </c>
      <c r="H248" s="175"/>
      <c r="I248" s="175">
        <v>0</v>
      </c>
    </row>
    <row r="249" spans="1:15" outlineLevel="1">
      <c r="B249" s="170"/>
      <c r="C249" s="227"/>
      <c r="D249" s="228"/>
      <c r="E249" s="170"/>
      <c r="F249" s="170"/>
      <c r="G249" s="170"/>
      <c r="H249" s="175"/>
      <c r="I249" s="175"/>
    </row>
    <row r="250" spans="1:15" outlineLevel="1">
      <c r="B250" s="165" t="s">
        <v>160</v>
      </c>
      <c r="C250" s="168" t="s">
        <v>161</v>
      </c>
      <c r="D250" s="169"/>
      <c r="E250" s="171"/>
      <c r="F250" s="171"/>
      <c r="G250" s="165"/>
      <c r="H250" s="175"/>
      <c r="I250" s="175">
        <f>I248+I246+I242</f>
        <v>171690</v>
      </c>
    </row>
    <row r="251" spans="1:15" outlineLevel="1">
      <c r="B251" s="165" t="s">
        <v>162</v>
      </c>
      <c r="C251" s="168" t="s">
        <v>82</v>
      </c>
      <c r="D251" s="169"/>
      <c r="E251" s="194"/>
      <c r="F251" s="179"/>
      <c r="G251" s="180">
        <f>$J$3</f>
        <v>0.15</v>
      </c>
      <c r="H251" s="171"/>
      <c r="I251" s="175">
        <f>I250*G251</f>
        <v>25753.5</v>
      </c>
    </row>
    <row r="252" spans="1:15" outlineLevel="1">
      <c r="B252" s="165" t="s">
        <v>163</v>
      </c>
      <c r="C252" s="168" t="s">
        <v>164</v>
      </c>
      <c r="D252" s="169"/>
      <c r="E252" s="194"/>
      <c r="F252" s="179"/>
      <c r="G252" s="714"/>
      <c r="H252" s="182"/>
      <c r="I252" s="183">
        <f>I250+I251</f>
        <v>197443.5</v>
      </c>
    </row>
    <row r="253" spans="1:15" outlineLevel="1">
      <c r="B253" s="165" t="s">
        <v>174</v>
      </c>
      <c r="C253" s="168" t="s">
        <v>175</v>
      </c>
      <c r="D253" s="169"/>
      <c r="E253" s="194"/>
      <c r="F253" s="179"/>
      <c r="G253" s="714"/>
      <c r="H253" s="182"/>
      <c r="I253" s="183">
        <f>I252/10</f>
        <v>19744.349999999999</v>
      </c>
    </row>
    <row r="254" spans="1:15" outlineLevel="1">
      <c r="B254" s="184"/>
      <c r="D254" s="186"/>
      <c r="E254" s="749"/>
      <c r="F254" s="229"/>
      <c r="G254" s="184"/>
      <c r="H254" s="187"/>
      <c r="I254" s="187"/>
    </row>
    <row r="255" spans="1:15">
      <c r="A255" s="167" t="str">
        <f>B255</f>
        <v>A.4.1.1.19.</v>
      </c>
      <c r="B255" s="159" t="s">
        <v>441</v>
      </c>
      <c r="D255" s="167" t="s">
        <v>442</v>
      </c>
      <c r="E255" s="163"/>
      <c r="F255" s="163"/>
      <c r="G255" s="163"/>
      <c r="J255" s="172">
        <f>I273</f>
        <v>16683.625</v>
      </c>
    </row>
    <row r="256" spans="1:15" s="46" customFormat="1" ht="31.2" outlineLevel="1">
      <c r="A256" s="13"/>
      <c r="B256" s="489" t="s">
        <v>75</v>
      </c>
      <c r="C256" s="1256" t="s">
        <v>140</v>
      </c>
      <c r="D256" s="1257"/>
      <c r="E256" s="490" t="s">
        <v>141</v>
      </c>
      <c r="F256" s="490" t="s">
        <v>142</v>
      </c>
      <c r="G256" s="490" t="s">
        <v>143</v>
      </c>
      <c r="H256" s="482" t="s">
        <v>144</v>
      </c>
      <c r="I256" s="482" t="s">
        <v>145</v>
      </c>
      <c r="J256" s="172"/>
      <c r="K256" s="154"/>
      <c r="L256" s="756"/>
      <c r="M256" s="154"/>
      <c r="N256" s="154"/>
      <c r="O256" s="154"/>
    </row>
    <row r="257" spans="1:15" s="46" customFormat="1" outlineLevel="1">
      <c r="A257" s="3"/>
      <c r="B257" s="491" t="s">
        <v>146</v>
      </c>
      <c r="C257" s="480" t="s">
        <v>147</v>
      </c>
      <c r="D257" s="481"/>
      <c r="E257" s="482"/>
      <c r="F257" s="482"/>
      <c r="G257" s="482"/>
      <c r="H257" s="492"/>
      <c r="I257" s="492"/>
      <c r="J257" s="172"/>
      <c r="K257" s="154"/>
      <c r="L257" s="756"/>
      <c r="M257" s="154"/>
      <c r="N257" s="154"/>
      <c r="O257" s="154"/>
    </row>
    <row r="258" spans="1:15" s="46" customFormat="1" outlineLevel="1">
      <c r="A258" s="3"/>
      <c r="B258" s="491"/>
      <c r="C258" s="480" t="s">
        <v>77</v>
      </c>
      <c r="D258" s="481"/>
      <c r="E258" s="482" t="s">
        <v>148</v>
      </c>
      <c r="F258" s="482" t="s">
        <v>76</v>
      </c>
      <c r="G258" s="482">
        <v>2.5000000000000001E-2</v>
      </c>
      <c r="H258" s="174">
        <f>VLOOKUP(C258,'UPAH-BAHAN'!D:F,2,0)</f>
        <v>120000</v>
      </c>
      <c r="I258" s="495">
        <f>G258*H258</f>
        <v>3000</v>
      </c>
      <c r="J258" s="172"/>
      <c r="K258" s="154"/>
      <c r="L258" s="756"/>
      <c r="M258" s="154"/>
      <c r="N258" s="154"/>
      <c r="O258" s="154"/>
    </row>
    <row r="259" spans="1:15" s="46" customFormat="1" outlineLevel="1">
      <c r="A259" s="3"/>
      <c r="B259" s="491"/>
      <c r="C259" s="480" t="s">
        <v>106</v>
      </c>
      <c r="D259" s="481"/>
      <c r="E259" s="482" t="s">
        <v>149</v>
      </c>
      <c r="F259" s="482" t="s">
        <v>76</v>
      </c>
      <c r="G259" s="482">
        <v>2.5000000000000001E-2</v>
      </c>
      <c r="H259" s="174">
        <f>VLOOKUP(C259,'UPAH-BAHAN'!D:F,2,0)</f>
        <v>160000</v>
      </c>
      <c r="I259" s="495">
        <f>G259*H259</f>
        <v>4000</v>
      </c>
      <c r="J259" s="172"/>
      <c r="K259" s="154"/>
      <c r="L259" s="756"/>
      <c r="M259" s="154"/>
      <c r="N259" s="154"/>
      <c r="O259" s="154"/>
    </row>
    <row r="260" spans="1:15" s="46" customFormat="1" outlineLevel="1">
      <c r="A260" s="3"/>
      <c r="B260" s="491"/>
      <c r="C260" s="480" t="s">
        <v>79</v>
      </c>
      <c r="D260" s="481"/>
      <c r="E260" s="482" t="s">
        <v>150</v>
      </c>
      <c r="F260" s="482" t="s">
        <v>76</v>
      </c>
      <c r="G260" s="482">
        <v>2.5000000000000001E-2</v>
      </c>
      <c r="H260" s="174">
        <f>VLOOKUP(C260,'UPAH-BAHAN'!D:F,2,0)</f>
        <v>170000</v>
      </c>
      <c r="I260" s="495">
        <f>G260*H260</f>
        <v>4250</v>
      </c>
      <c r="J260" s="172"/>
      <c r="K260" s="154"/>
      <c r="L260" s="756"/>
      <c r="M260" s="154"/>
      <c r="N260" s="154"/>
      <c r="O260" s="154"/>
    </row>
    <row r="261" spans="1:15" s="46" customFormat="1" outlineLevel="1">
      <c r="A261" s="3"/>
      <c r="B261" s="491"/>
      <c r="C261" s="480" t="s">
        <v>80</v>
      </c>
      <c r="D261" s="481"/>
      <c r="E261" s="482" t="s">
        <v>151</v>
      </c>
      <c r="F261" s="482" t="s">
        <v>76</v>
      </c>
      <c r="G261" s="482">
        <v>1E-3</v>
      </c>
      <c r="H261" s="174">
        <f>VLOOKUP(C261,'UPAH-BAHAN'!D:F,2,0)</f>
        <v>225000</v>
      </c>
      <c r="I261" s="495">
        <f>G261*H261</f>
        <v>225</v>
      </c>
      <c r="J261" s="172"/>
      <c r="K261" s="154"/>
      <c r="L261" s="756"/>
      <c r="M261" s="154"/>
      <c r="N261" s="154"/>
      <c r="O261" s="154"/>
    </row>
    <row r="262" spans="1:15" s="46" customFormat="1" outlineLevel="1">
      <c r="A262" s="3"/>
      <c r="B262" s="491"/>
      <c r="C262" s="480"/>
      <c r="D262" s="481"/>
      <c r="E262" s="484"/>
      <c r="F262" s="484"/>
      <c r="G262" s="708" t="s">
        <v>173</v>
      </c>
      <c r="H262" s="494"/>
      <c r="I262" s="495">
        <f>SUM(I258:I261)</f>
        <v>11475</v>
      </c>
      <c r="J262" s="172"/>
      <c r="K262" s="154"/>
      <c r="L262" s="756"/>
      <c r="M262" s="154"/>
      <c r="N262" s="154"/>
      <c r="O262" s="154"/>
    </row>
    <row r="263" spans="1:15" s="46" customFormat="1" outlineLevel="1">
      <c r="A263" s="3"/>
      <c r="B263" s="491" t="s">
        <v>153</v>
      </c>
      <c r="C263" s="480" t="s">
        <v>154</v>
      </c>
      <c r="D263" s="481"/>
      <c r="E263" s="484"/>
      <c r="F263" s="484"/>
      <c r="G263" s="484"/>
      <c r="H263" s="493"/>
      <c r="I263" s="493"/>
      <c r="J263" s="172"/>
      <c r="K263" s="154"/>
      <c r="L263" s="756"/>
      <c r="M263" s="154"/>
      <c r="N263" s="154"/>
      <c r="O263" s="154"/>
    </row>
    <row r="264" spans="1:15" s="46" customFormat="1" outlineLevel="1">
      <c r="A264" s="3"/>
      <c r="B264" s="491"/>
      <c r="C264" s="480" t="s">
        <v>878</v>
      </c>
      <c r="D264" s="481"/>
      <c r="E264" s="484"/>
      <c r="F264" s="482" t="s">
        <v>64</v>
      </c>
      <c r="G264" s="482">
        <v>10.199999999999999</v>
      </c>
      <c r="H264" s="174">
        <f>VLOOKUP(C264,'UPAH-BAHAN'!D:F,2,0)</f>
        <v>13000</v>
      </c>
      <c r="I264" s="493">
        <f>G264*H264</f>
        <v>132600</v>
      </c>
      <c r="J264" s="172"/>
      <c r="K264" s="154"/>
      <c r="L264" s="756"/>
      <c r="M264" s="154"/>
      <c r="N264" s="154"/>
      <c r="O264" s="154"/>
    </row>
    <row r="265" spans="1:15" s="46" customFormat="1" outlineLevel="1">
      <c r="A265" s="3"/>
      <c r="B265" s="491"/>
      <c r="C265" s="480" t="s">
        <v>103</v>
      </c>
      <c r="D265" s="481"/>
      <c r="E265" s="484"/>
      <c r="F265" s="482" t="s">
        <v>64</v>
      </c>
      <c r="G265" s="482">
        <v>0.05</v>
      </c>
      <c r="H265" s="174">
        <f>VLOOKUP(C265,'UPAH-BAHAN'!D:F,2,0)</f>
        <v>20000</v>
      </c>
      <c r="I265" s="493">
        <f>G265*H265</f>
        <v>1000</v>
      </c>
      <c r="J265" s="172"/>
      <c r="K265" s="154">
        <v>15352</v>
      </c>
      <c r="L265" s="756"/>
      <c r="M265" s="154"/>
      <c r="N265" s="154"/>
      <c r="O265" s="154"/>
    </row>
    <row r="266" spans="1:15" s="46" customFormat="1" outlineLevel="1">
      <c r="A266" s="3"/>
      <c r="B266" s="491"/>
      <c r="C266" s="480"/>
      <c r="D266" s="481"/>
      <c r="E266" s="484"/>
      <c r="F266" s="484"/>
      <c r="G266" s="708" t="s">
        <v>172</v>
      </c>
      <c r="H266" s="493"/>
      <c r="I266" s="493">
        <f>SUM(I264:I265)</f>
        <v>133600</v>
      </c>
      <c r="J266" s="172"/>
      <c r="K266" s="154"/>
      <c r="L266" s="756"/>
      <c r="M266" s="154"/>
      <c r="N266" s="154"/>
      <c r="O266" s="154"/>
    </row>
    <row r="267" spans="1:15" s="46" customFormat="1" outlineLevel="1">
      <c r="A267" s="3"/>
      <c r="B267" s="491" t="s">
        <v>157</v>
      </c>
      <c r="C267" s="480" t="s">
        <v>158</v>
      </c>
      <c r="D267" s="481"/>
      <c r="E267" s="484"/>
      <c r="F267" s="484"/>
      <c r="G267" s="484"/>
      <c r="H267" s="493"/>
      <c r="I267" s="493"/>
      <c r="J267" s="172"/>
      <c r="K267" s="154"/>
      <c r="L267" s="756"/>
      <c r="M267" s="154"/>
      <c r="N267" s="154"/>
      <c r="O267" s="154"/>
    </row>
    <row r="268" spans="1:15" s="46" customFormat="1" outlineLevel="1">
      <c r="A268" s="3"/>
      <c r="B268" s="491"/>
      <c r="C268" s="496"/>
      <c r="D268" s="481"/>
      <c r="E268" s="484"/>
      <c r="F268" s="484"/>
      <c r="G268" s="708" t="s">
        <v>159</v>
      </c>
      <c r="H268" s="493"/>
      <c r="I268" s="493">
        <v>0</v>
      </c>
      <c r="J268" s="172"/>
      <c r="K268" s="154"/>
      <c r="L268" s="756"/>
      <c r="M268" s="154"/>
      <c r="N268" s="154"/>
      <c r="O268" s="154"/>
    </row>
    <row r="269" spans="1:15" s="46" customFormat="1" outlineLevel="1">
      <c r="A269" s="3"/>
      <c r="B269" s="502"/>
      <c r="C269" s="503"/>
      <c r="D269" s="504"/>
      <c r="E269" s="484"/>
      <c r="F269" s="484"/>
      <c r="G269" s="484"/>
      <c r="H269" s="493"/>
      <c r="I269" s="493"/>
      <c r="J269" s="172"/>
      <c r="K269" s="154"/>
      <c r="L269" s="756"/>
      <c r="M269" s="154"/>
      <c r="N269" s="154"/>
      <c r="O269" s="154"/>
    </row>
    <row r="270" spans="1:15" s="46" customFormat="1" outlineLevel="1">
      <c r="A270" s="3"/>
      <c r="B270" s="491" t="s">
        <v>160</v>
      </c>
      <c r="C270" s="480" t="s">
        <v>161</v>
      </c>
      <c r="D270" s="481"/>
      <c r="E270" s="492"/>
      <c r="F270" s="492"/>
      <c r="G270" s="482"/>
      <c r="H270" s="493"/>
      <c r="I270" s="493">
        <f>I268+I266+I262</f>
        <v>145075</v>
      </c>
      <c r="J270" s="172"/>
      <c r="K270" s="154"/>
      <c r="L270" s="756"/>
      <c r="M270" s="154"/>
      <c r="N270" s="154"/>
      <c r="O270" s="154"/>
    </row>
    <row r="271" spans="1:15" s="46" customFormat="1" outlineLevel="1">
      <c r="A271" s="3"/>
      <c r="B271" s="491" t="s">
        <v>162</v>
      </c>
      <c r="C271" s="480" t="s">
        <v>82</v>
      </c>
      <c r="D271" s="481"/>
      <c r="E271" s="747"/>
      <c r="F271" s="497"/>
      <c r="G271" s="180">
        <f>$J$3</f>
        <v>0.15</v>
      </c>
      <c r="H271" s="492"/>
      <c r="I271" s="493">
        <f>I270*G271</f>
        <v>21761.25</v>
      </c>
      <c r="J271" s="172"/>
      <c r="K271" s="154"/>
      <c r="L271" s="756"/>
      <c r="M271" s="154"/>
      <c r="N271" s="154"/>
      <c r="O271" s="154"/>
    </row>
    <row r="272" spans="1:15" s="46" customFormat="1" outlineLevel="1">
      <c r="A272" s="3"/>
      <c r="B272" s="491" t="s">
        <v>163</v>
      </c>
      <c r="C272" s="480" t="s">
        <v>164</v>
      </c>
      <c r="D272" s="481"/>
      <c r="E272" s="747"/>
      <c r="F272" s="497"/>
      <c r="G272" s="715"/>
      <c r="H272" s="505"/>
      <c r="I272" s="506">
        <f>I270+I271</f>
        <v>166836.25</v>
      </c>
      <c r="J272" s="172"/>
      <c r="K272" s="154">
        <v>3.07</v>
      </c>
      <c r="L272" s="756"/>
      <c r="M272" s="154"/>
      <c r="N272" s="154"/>
      <c r="O272" s="154"/>
    </row>
    <row r="273" spans="1:15" s="46" customFormat="1" outlineLevel="1">
      <c r="A273" s="3"/>
      <c r="B273" s="491" t="s">
        <v>174</v>
      </c>
      <c r="C273" s="480" t="s">
        <v>175</v>
      </c>
      <c r="D273" s="481"/>
      <c r="E273" s="747"/>
      <c r="F273" s="497"/>
      <c r="G273" s="715"/>
      <c r="H273" s="505"/>
      <c r="I273" s="506">
        <f>I272/10</f>
        <v>16683.625</v>
      </c>
      <c r="J273" s="172"/>
      <c r="K273" s="154"/>
      <c r="L273" s="756"/>
      <c r="M273" s="154"/>
      <c r="N273" s="154"/>
      <c r="O273" s="154"/>
    </row>
    <row r="274" spans="1:15" s="46" customFormat="1" outlineLevel="1">
      <c r="A274" s="3"/>
      <c r="B274" s="498"/>
      <c r="C274" s="2"/>
      <c r="D274" s="499"/>
      <c r="E274" s="650"/>
      <c r="F274" s="507"/>
      <c r="G274" s="649"/>
      <c r="H274" s="500"/>
      <c r="I274" s="500"/>
      <c r="J274" s="172"/>
      <c r="K274" s="154"/>
      <c r="L274" s="756"/>
      <c r="M274" s="154"/>
      <c r="N274" s="154"/>
      <c r="O274" s="154"/>
    </row>
    <row r="275" spans="1:15">
      <c r="A275" s="167" t="str">
        <f>B275</f>
        <v>A.4.1.1.18.</v>
      </c>
      <c r="B275" s="159" t="s">
        <v>872</v>
      </c>
      <c r="D275" s="167" t="s">
        <v>875</v>
      </c>
      <c r="E275" s="163"/>
      <c r="F275" s="163"/>
      <c r="G275" s="163"/>
      <c r="J275" s="172">
        <f>I291</f>
        <v>65637.046582892421</v>
      </c>
    </row>
    <row r="276" spans="1:15" s="46" customFormat="1" ht="31.2" outlineLevel="1">
      <c r="A276" s="13"/>
      <c r="B276" s="489" t="s">
        <v>75</v>
      </c>
      <c r="C276" s="1256" t="s">
        <v>140</v>
      </c>
      <c r="D276" s="1257"/>
      <c r="E276" s="490" t="s">
        <v>141</v>
      </c>
      <c r="F276" s="490" t="s">
        <v>142</v>
      </c>
      <c r="G276" s="490" t="s">
        <v>143</v>
      </c>
      <c r="H276" s="482" t="s">
        <v>144</v>
      </c>
      <c r="I276" s="482" t="s">
        <v>145</v>
      </c>
      <c r="J276" s="172"/>
      <c r="K276" s="154"/>
      <c r="L276" s="756"/>
      <c r="M276" s="154"/>
      <c r="N276" s="154"/>
      <c r="O276" s="154"/>
    </row>
    <row r="277" spans="1:15" s="46" customFormat="1" outlineLevel="1">
      <c r="A277" s="3"/>
      <c r="B277" s="491" t="s">
        <v>146</v>
      </c>
      <c r="C277" s="480" t="s">
        <v>147</v>
      </c>
      <c r="D277" s="481"/>
      <c r="E277" s="482"/>
      <c r="F277" s="482"/>
      <c r="G277" s="482"/>
      <c r="H277" s="492"/>
      <c r="I277" s="492"/>
      <c r="J277" s="172"/>
      <c r="K277" s="154"/>
      <c r="L277" s="756"/>
      <c r="M277" s="154"/>
      <c r="N277" s="154"/>
      <c r="O277" s="154"/>
    </row>
    <row r="278" spans="1:15" s="46" customFormat="1" outlineLevel="1">
      <c r="A278" s="3"/>
      <c r="B278" s="491"/>
      <c r="C278" s="480" t="s">
        <v>77</v>
      </c>
      <c r="D278" s="481"/>
      <c r="E278" s="482" t="s">
        <v>148</v>
      </c>
      <c r="F278" s="482" t="s">
        <v>76</v>
      </c>
      <c r="G278" s="482">
        <f>0.025*3.07</f>
        <v>7.6749999999999999E-2</v>
      </c>
      <c r="H278" s="174">
        <f>VLOOKUP(C278,'UPAH-BAHAN'!D:F,2,0)</f>
        <v>120000</v>
      </c>
      <c r="I278" s="495">
        <f>G278*H278</f>
        <v>9210</v>
      </c>
      <c r="J278" s="172"/>
      <c r="K278" s="154"/>
      <c r="L278" s="756"/>
      <c r="M278" s="154"/>
      <c r="N278" s="154"/>
      <c r="O278" s="154"/>
    </row>
    <row r="279" spans="1:15" s="46" customFormat="1" outlineLevel="1">
      <c r="A279" s="3"/>
      <c r="B279" s="491"/>
      <c r="C279" s="480" t="s">
        <v>106</v>
      </c>
      <c r="D279" s="481"/>
      <c r="E279" s="482" t="s">
        <v>149</v>
      </c>
      <c r="F279" s="482" t="s">
        <v>76</v>
      </c>
      <c r="G279" s="482">
        <f>0.025*3.07</f>
        <v>7.6749999999999999E-2</v>
      </c>
      <c r="H279" s="174">
        <f>VLOOKUP(C279,'UPAH-BAHAN'!D:F,2,0)</f>
        <v>160000</v>
      </c>
      <c r="I279" s="495">
        <f>G279*H279</f>
        <v>12280</v>
      </c>
      <c r="J279" s="172"/>
      <c r="K279" s="154"/>
      <c r="L279" s="756"/>
      <c r="M279" s="154"/>
      <c r="N279" s="154"/>
      <c r="O279" s="154"/>
    </row>
    <row r="280" spans="1:15" s="46" customFormat="1" outlineLevel="1">
      <c r="A280" s="3"/>
      <c r="B280" s="491"/>
      <c r="C280" s="480" t="s">
        <v>79</v>
      </c>
      <c r="D280" s="481"/>
      <c r="E280" s="482" t="s">
        <v>150</v>
      </c>
      <c r="F280" s="482" t="s">
        <v>76</v>
      </c>
      <c r="G280" s="482">
        <f>0.025*3.07</f>
        <v>7.6749999999999999E-2</v>
      </c>
      <c r="H280" s="174">
        <f>VLOOKUP(C280,'UPAH-BAHAN'!D:F,2,0)</f>
        <v>170000</v>
      </c>
      <c r="I280" s="495">
        <f>G280*H280</f>
        <v>13047.5</v>
      </c>
      <c r="J280" s="172"/>
      <c r="K280" s="154"/>
      <c r="L280" s="756"/>
      <c r="M280" s="154"/>
      <c r="N280" s="154"/>
      <c r="O280" s="154"/>
    </row>
    <row r="281" spans="1:15" s="46" customFormat="1" outlineLevel="1">
      <c r="A281" s="3"/>
      <c r="B281" s="491"/>
      <c r="C281" s="480" t="s">
        <v>80</v>
      </c>
      <c r="D281" s="481"/>
      <c r="E281" s="482" t="s">
        <v>151</v>
      </c>
      <c r="F281" s="482" t="s">
        <v>76</v>
      </c>
      <c r="G281" s="482">
        <f>0.001*3.07</f>
        <v>3.0699999999999998E-3</v>
      </c>
      <c r="H281" s="174">
        <f>VLOOKUP(C281,'UPAH-BAHAN'!D:F,2,0)</f>
        <v>225000</v>
      </c>
      <c r="I281" s="495">
        <f>G281*H281</f>
        <v>690.75</v>
      </c>
      <c r="J281" s="172"/>
      <c r="K281" s="154"/>
      <c r="L281" s="756"/>
      <c r="M281" s="154"/>
      <c r="N281" s="154"/>
      <c r="O281" s="154"/>
    </row>
    <row r="282" spans="1:15" s="46" customFormat="1" outlineLevel="1">
      <c r="A282" s="3"/>
      <c r="B282" s="491"/>
      <c r="C282" s="480"/>
      <c r="D282" s="481"/>
      <c r="E282" s="484"/>
      <c r="F282" s="484"/>
      <c r="G282" s="708" t="s">
        <v>173</v>
      </c>
      <c r="H282" s="494"/>
      <c r="I282" s="495">
        <f>SUM(I278:I281)</f>
        <v>35228.25</v>
      </c>
      <c r="J282" s="172"/>
      <c r="K282" s="154"/>
      <c r="L282" s="756"/>
      <c r="M282" s="154"/>
      <c r="N282" s="154"/>
      <c r="O282" s="154"/>
    </row>
    <row r="283" spans="1:15" s="46" customFormat="1" outlineLevel="1">
      <c r="A283" s="3"/>
      <c r="B283" s="491" t="s">
        <v>153</v>
      </c>
      <c r="C283" s="480" t="s">
        <v>154</v>
      </c>
      <c r="D283" s="481"/>
      <c r="E283" s="484"/>
      <c r="F283" s="484"/>
      <c r="G283" s="484"/>
      <c r="H283" s="493"/>
      <c r="I283" s="493"/>
      <c r="J283" s="172"/>
      <c r="K283" s="154"/>
      <c r="L283" s="756"/>
      <c r="M283" s="154"/>
      <c r="N283" s="154"/>
      <c r="O283" s="154"/>
    </row>
    <row r="284" spans="1:15" s="46" customFormat="1" outlineLevel="1">
      <c r="A284" s="3"/>
      <c r="B284" s="491"/>
      <c r="C284" s="480" t="s">
        <v>877</v>
      </c>
      <c r="D284" s="481"/>
      <c r="E284" s="484"/>
      <c r="F284" s="482" t="s">
        <v>133</v>
      </c>
      <c r="G284" s="482">
        <v>1</v>
      </c>
      <c r="H284" s="174">
        <f>VLOOKUP(C284,'UPAH-BAHAN'!D:F,2,0)</f>
        <v>21847.442680776014</v>
      </c>
      <c r="I284" s="493">
        <f>G284*H284</f>
        <v>21847.442680776014</v>
      </c>
      <c r="J284" s="172"/>
      <c r="K284" s="154" t="s">
        <v>874</v>
      </c>
      <c r="L284" s="756"/>
      <c r="M284" s="154"/>
      <c r="N284" s="154"/>
      <c r="O284" s="154"/>
    </row>
    <row r="285" spans="1:15" s="46" customFormat="1" outlineLevel="1">
      <c r="A285" s="3"/>
      <c r="B285" s="491"/>
      <c r="C285" s="480"/>
      <c r="D285" s="481"/>
      <c r="E285" s="484"/>
      <c r="F285" s="484"/>
      <c r="G285" s="708" t="s">
        <v>172</v>
      </c>
      <c r="H285" s="493"/>
      <c r="I285" s="493">
        <f>SUM(I284:I284)</f>
        <v>21847.442680776014</v>
      </c>
      <c r="J285" s="172"/>
      <c r="K285" s="154"/>
      <c r="L285" s="756"/>
      <c r="M285" s="154"/>
      <c r="N285" s="154"/>
      <c r="O285" s="154"/>
    </row>
    <row r="286" spans="1:15" s="46" customFormat="1" outlineLevel="1">
      <c r="A286" s="3"/>
      <c r="B286" s="491" t="s">
        <v>157</v>
      </c>
      <c r="C286" s="480" t="s">
        <v>158</v>
      </c>
      <c r="D286" s="481"/>
      <c r="E286" s="484"/>
      <c r="F286" s="484"/>
      <c r="G286" s="484"/>
      <c r="H286" s="493"/>
      <c r="I286" s="493"/>
      <c r="J286" s="172"/>
      <c r="K286" s="154"/>
      <c r="L286" s="756"/>
      <c r="M286" s="154"/>
      <c r="N286" s="154"/>
      <c r="O286" s="154"/>
    </row>
    <row r="287" spans="1:15" s="46" customFormat="1" outlineLevel="1">
      <c r="A287" s="3"/>
      <c r="B287" s="491"/>
      <c r="C287" s="496"/>
      <c r="D287" s="481"/>
      <c r="E287" s="484"/>
      <c r="F287" s="484"/>
      <c r="G287" s="708" t="s">
        <v>159</v>
      </c>
      <c r="H287" s="493"/>
      <c r="I287" s="493">
        <v>0</v>
      </c>
      <c r="J287" s="172"/>
      <c r="K287" s="154"/>
      <c r="L287" s="756"/>
      <c r="M287" s="154"/>
      <c r="N287" s="154"/>
      <c r="O287" s="154"/>
    </row>
    <row r="288" spans="1:15" s="46" customFormat="1" outlineLevel="1">
      <c r="A288" s="3"/>
      <c r="B288" s="502"/>
      <c r="C288" s="503"/>
      <c r="D288" s="504"/>
      <c r="E288" s="484"/>
      <c r="F288" s="484"/>
      <c r="G288" s="484"/>
      <c r="H288" s="493"/>
      <c r="I288" s="493"/>
      <c r="J288" s="172"/>
      <c r="K288" s="154"/>
      <c r="L288" s="756"/>
      <c r="M288" s="154"/>
      <c r="N288" s="154"/>
      <c r="O288" s="154"/>
    </row>
    <row r="289" spans="1:15" s="46" customFormat="1" outlineLevel="1">
      <c r="A289" s="3"/>
      <c r="B289" s="491" t="s">
        <v>160</v>
      </c>
      <c r="C289" s="480" t="s">
        <v>161</v>
      </c>
      <c r="D289" s="481"/>
      <c r="E289" s="492"/>
      <c r="F289" s="492"/>
      <c r="G289" s="482"/>
      <c r="H289" s="493"/>
      <c r="I289" s="493">
        <f>I287+I285+I282</f>
        <v>57075.692680776017</v>
      </c>
      <c r="J289" s="172"/>
      <c r="K289" s="154"/>
      <c r="L289" s="756"/>
      <c r="M289" s="154"/>
      <c r="N289" s="154"/>
      <c r="O289" s="154"/>
    </row>
    <row r="290" spans="1:15" s="46" customFormat="1" outlineLevel="1">
      <c r="A290" s="3"/>
      <c r="B290" s="491" t="s">
        <v>162</v>
      </c>
      <c r="C290" s="480" t="s">
        <v>82</v>
      </c>
      <c r="D290" s="481"/>
      <c r="E290" s="747"/>
      <c r="F290" s="497"/>
      <c r="G290" s="180">
        <f>$J$3</f>
        <v>0.15</v>
      </c>
      <c r="H290" s="492"/>
      <c r="I290" s="493">
        <f>I289*G290</f>
        <v>8561.3539021164015</v>
      </c>
      <c r="J290" s="172"/>
      <c r="K290" s="154"/>
      <c r="L290" s="756"/>
      <c r="M290" s="154"/>
      <c r="N290" s="154"/>
      <c r="O290" s="154"/>
    </row>
    <row r="291" spans="1:15" s="46" customFormat="1" outlineLevel="1">
      <c r="A291" s="3"/>
      <c r="B291" s="491" t="s">
        <v>163</v>
      </c>
      <c r="C291" s="480" t="s">
        <v>164</v>
      </c>
      <c r="D291" s="481"/>
      <c r="E291" s="747"/>
      <c r="F291" s="497"/>
      <c r="G291" s="715"/>
      <c r="H291" s="505"/>
      <c r="I291" s="506">
        <f>I289+I290</f>
        <v>65637.046582892421</v>
      </c>
      <c r="J291" s="172"/>
      <c r="K291" s="154"/>
      <c r="L291" s="756"/>
      <c r="M291" s="154"/>
      <c r="N291" s="154"/>
      <c r="O291" s="154"/>
    </row>
    <row r="292" spans="1:15" s="46" customFormat="1" outlineLevel="1">
      <c r="A292" s="3"/>
      <c r="B292" s="498"/>
      <c r="C292" s="2"/>
      <c r="D292" s="499"/>
      <c r="E292" s="650"/>
      <c r="F292" s="507"/>
      <c r="G292" s="649"/>
      <c r="H292" s="500"/>
      <c r="I292" s="500"/>
      <c r="J292" s="172"/>
      <c r="K292" s="154"/>
      <c r="L292" s="756"/>
      <c r="M292" s="154"/>
      <c r="N292" s="154"/>
      <c r="O292" s="154"/>
    </row>
    <row r="293" spans="1:15">
      <c r="A293" s="167" t="str">
        <f>B293</f>
        <v>A.4.1.1.21.</v>
      </c>
      <c r="B293" s="159" t="s">
        <v>108</v>
      </c>
      <c r="C293" s="167"/>
      <c r="D293" s="167" t="s">
        <v>848</v>
      </c>
      <c r="E293" s="163"/>
      <c r="F293" s="163"/>
      <c r="G293" s="163"/>
      <c r="J293" s="172">
        <f>I310</f>
        <v>318285.5</v>
      </c>
    </row>
    <row r="294" spans="1:15" ht="31.2" outlineLevel="1">
      <c r="A294" s="163"/>
      <c r="B294" s="164" t="s">
        <v>75</v>
      </c>
      <c r="C294" s="1254" t="s">
        <v>140</v>
      </c>
      <c r="D294" s="1255"/>
      <c r="E294" s="164" t="s">
        <v>141</v>
      </c>
      <c r="F294" s="164" t="s">
        <v>142</v>
      </c>
      <c r="G294" s="164" t="s">
        <v>143</v>
      </c>
      <c r="H294" s="165" t="s">
        <v>144</v>
      </c>
      <c r="I294" s="165" t="s">
        <v>145</v>
      </c>
    </row>
    <row r="295" spans="1:15" outlineLevel="1">
      <c r="B295" s="165" t="s">
        <v>146</v>
      </c>
      <c r="C295" s="168" t="s">
        <v>147</v>
      </c>
      <c r="D295" s="169"/>
      <c r="E295" s="170"/>
      <c r="F295" s="170"/>
      <c r="G295" s="170"/>
      <c r="H295" s="171"/>
      <c r="I295" s="171"/>
    </row>
    <row r="296" spans="1:15" outlineLevel="1">
      <c r="B296" s="165"/>
      <c r="C296" s="168" t="s">
        <v>77</v>
      </c>
      <c r="D296" s="169"/>
      <c r="E296" s="165" t="s">
        <v>148</v>
      </c>
      <c r="F296" s="165" t="s">
        <v>76</v>
      </c>
      <c r="G296" s="173">
        <v>0.52</v>
      </c>
      <c r="H296" s="174">
        <f>VLOOKUP(C296,'UPAH-BAHAN'!D:F,2,0)</f>
        <v>120000</v>
      </c>
      <c r="I296" s="175">
        <f>G296*H296</f>
        <v>62400</v>
      </c>
    </row>
    <row r="297" spans="1:15" outlineLevel="1">
      <c r="B297" s="165"/>
      <c r="C297" s="168" t="s">
        <v>106</v>
      </c>
      <c r="D297" s="169"/>
      <c r="E297" s="165" t="s">
        <v>149</v>
      </c>
      <c r="F297" s="165" t="s">
        <v>76</v>
      </c>
      <c r="G297" s="173">
        <v>0.26</v>
      </c>
      <c r="H297" s="174">
        <f>VLOOKUP(C297,'UPAH-BAHAN'!D:F,2,0)</f>
        <v>160000</v>
      </c>
      <c r="I297" s="175">
        <f>G297*H297</f>
        <v>41600</v>
      </c>
    </row>
    <row r="298" spans="1:15" outlineLevel="1">
      <c r="B298" s="165"/>
      <c r="C298" s="168" t="s">
        <v>79</v>
      </c>
      <c r="D298" s="169"/>
      <c r="E298" s="165" t="s">
        <v>150</v>
      </c>
      <c r="F298" s="165" t="s">
        <v>76</v>
      </c>
      <c r="G298" s="165">
        <v>2.5999999999999999E-2</v>
      </c>
      <c r="H298" s="174">
        <f>VLOOKUP(C298,'UPAH-BAHAN'!D:F,2,0)</f>
        <v>170000</v>
      </c>
      <c r="I298" s="175">
        <f>G298*H298</f>
        <v>4420</v>
      </c>
    </row>
    <row r="299" spans="1:15" outlineLevel="1">
      <c r="B299" s="165"/>
      <c r="C299" s="168" t="s">
        <v>80</v>
      </c>
      <c r="D299" s="169"/>
      <c r="E299" s="165" t="s">
        <v>151</v>
      </c>
      <c r="F299" s="165" t="s">
        <v>76</v>
      </c>
      <c r="G299" s="165">
        <v>2.5999999999999999E-2</v>
      </c>
      <c r="H299" s="174">
        <f>VLOOKUP(C299,'UPAH-BAHAN'!D:F,2,0)</f>
        <v>225000</v>
      </c>
      <c r="I299" s="175">
        <f>G299*H299</f>
        <v>5850</v>
      </c>
    </row>
    <row r="300" spans="1:15" outlineLevel="1">
      <c r="B300" s="165"/>
      <c r="C300" s="176"/>
      <c r="D300" s="169"/>
      <c r="E300" s="170"/>
      <c r="F300" s="170"/>
      <c r="G300" s="340" t="s">
        <v>173</v>
      </c>
      <c r="H300" s="177"/>
      <c r="I300" s="175">
        <f>SUM(I296:I299)</f>
        <v>114270</v>
      </c>
    </row>
    <row r="301" spans="1:15" outlineLevel="1">
      <c r="B301" s="165" t="s">
        <v>153</v>
      </c>
      <c r="C301" s="168" t="s">
        <v>154</v>
      </c>
      <c r="D301" s="169"/>
      <c r="E301" s="170"/>
      <c r="F301" s="170"/>
      <c r="G301" s="165"/>
      <c r="H301" s="175"/>
      <c r="I301" s="175"/>
    </row>
    <row r="302" spans="1:15" ht="18" outlineLevel="1">
      <c r="B302" s="165"/>
      <c r="C302" s="168" t="s">
        <v>155</v>
      </c>
      <c r="D302" s="169"/>
      <c r="E302" s="170"/>
      <c r="F302" s="165" t="s">
        <v>337</v>
      </c>
      <c r="G302" s="165">
        <v>4.4999999999999998E-2</v>
      </c>
      <c r="H302" s="174">
        <f>VLOOKUP(C302,'UPAH-BAHAN'!D:F,2,0)</f>
        <v>3400000</v>
      </c>
      <c r="I302" s="175">
        <f>G302*H302</f>
        <v>153000</v>
      </c>
    </row>
    <row r="303" spans="1:15" outlineLevel="1">
      <c r="B303" s="165"/>
      <c r="C303" s="168" t="s">
        <v>209</v>
      </c>
      <c r="D303" s="169"/>
      <c r="E303" s="170"/>
      <c r="F303" s="165" t="s">
        <v>64</v>
      </c>
      <c r="G303" s="173">
        <v>0.3</v>
      </c>
      <c r="H303" s="174">
        <f>VLOOKUP(C303,'UPAH-BAHAN'!D:F,2,0)</f>
        <v>20000</v>
      </c>
      <c r="I303" s="175">
        <f>G303*H303</f>
        <v>6000</v>
      </c>
    </row>
    <row r="304" spans="1:15" outlineLevel="1">
      <c r="B304" s="165"/>
      <c r="C304" s="168" t="s">
        <v>101</v>
      </c>
      <c r="D304" s="169"/>
      <c r="E304" s="170"/>
      <c r="F304" s="165" t="s">
        <v>100</v>
      </c>
      <c r="G304" s="173">
        <v>0.1</v>
      </c>
      <c r="H304" s="174">
        <f>VLOOKUP(C304,'UPAH-BAHAN'!D:F,2,0)</f>
        <v>35000</v>
      </c>
      <c r="I304" s="175">
        <f>G304*H304</f>
        <v>3500</v>
      </c>
    </row>
    <row r="305" spans="1:10" outlineLevel="1">
      <c r="B305" s="165"/>
      <c r="C305" s="168"/>
      <c r="D305" s="169"/>
      <c r="E305" s="170"/>
      <c r="F305" s="170"/>
      <c r="G305" s="340" t="s">
        <v>172</v>
      </c>
      <c r="H305" s="175"/>
      <c r="I305" s="175">
        <f>SUM(I302:I304)</f>
        <v>162500</v>
      </c>
    </row>
    <row r="306" spans="1:10" outlineLevel="1">
      <c r="B306" s="165" t="s">
        <v>157</v>
      </c>
      <c r="C306" s="168" t="s">
        <v>158</v>
      </c>
      <c r="D306" s="169"/>
      <c r="E306" s="170"/>
      <c r="F306" s="170"/>
      <c r="G306" s="170"/>
      <c r="H306" s="175"/>
      <c r="I306" s="175"/>
    </row>
    <row r="307" spans="1:10" outlineLevel="1">
      <c r="B307" s="165"/>
      <c r="C307" s="168"/>
      <c r="D307" s="169"/>
      <c r="E307" s="170"/>
      <c r="F307" s="170"/>
      <c r="G307" s="340" t="s">
        <v>159</v>
      </c>
      <c r="H307" s="175"/>
      <c r="I307" s="175">
        <v>0</v>
      </c>
    </row>
    <row r="308" spans="1:10" outlineLevel="1">
      <c r="B308" s="165" t="s">
        <v>160</v>
      </c>
      <c r="C308" s="168" t="s">
        <v>161</v>
      </c>
      <c r="D308" s="169"/>
      <c r="E308" s="171"/>
      <c r="F308" s="171"/>
      <c r="G308" s="165"/>
      <c r="H308" s="175"/>
      <c r="I308" s="175">
        <f>I307+I305+I300</f>
        <v>276770</v>
      </c>
    </row>
    <row r="309" spans="1:10" outlineLevel="1">
      <c r="B309" s="165" t="s">
        <v>162</v>
      </c>
      <c r="C309" s="168" t="s">
        <v>82</v>
      </c>
      <c r="D309" s="169"/>
      <c r="E309" s="194"/>
      <c r="F309" s="179"/>
      <c r="G309" s="180">
        <f>$J$3</f>
        <v>0.15</v>
      </c>
      <c r="H309" s="171"/>
      <c r="I309" s="175">
        <f>I308*G309</f>
        <v>41515.5</v>
      </c>
    </row>
    <row r="310" spans="1:10" outlineLevel="1">
      <c r="B310" s="165" t="s">
        <v>163</v>
      </c>
      <c r="C310" s="168" t="s">
        <v>164</v>
      </c>
      <c r="D310" s="169"/>
      <c r="E310" s="742"/>
      <c r="F310" s="181"/>
      <c r="G310" s="713"/>
      <c r="H310" s="182"/>
      <c r="I310" s="183">
        <f>I308+I309</f>
        <v>318285.5</v>
      </c>
    </row>
    <row r="311" spans="1:10" outlineLevel="1">
      <c r="B311" s="184"/>
      <c r="D311" s="186"/>
      <c r="E311" s="186"/>
      <c r="F311" s="186"/>
      <c r="G311" s="184"/>
      <c r="H311" s="187"/>
      <c r="I311" s="187"/>
    </row>
    <row r="312" spans="1:10">
      <c r="A312" s="167" t="str">
        <f>B312</f>
        <v>A.4.1.1.22</v>
      </c>
      <c r="B312" s="159" t="s">
        <v>215</v>
      </c>
      <c r="C312" s="167"/>
      <c r="D312" s="167" t="s">
        <v>849</v>
      </c>
      <c r="E312" s="163"/>
      <c r="F312" s="163"/>
      <c r="G312" s="163"/>
      <c r="J312" s="172">
        <f>I332</f>
        <v>568715.25</v>
      </c>
    </row>
    <row r="313" spans="1:10" ht="31.2" outlineLevel="1">
      <c r="A313" s="163"/>
      <c r="B313" s="164" t="s">
        <v>75</v>
      </c>
      <c r="C313" s="1254" t="s">
        <v>140</v>
      </c>
      <c r="D313" s="1255"/>
      <c r="E313" s="164" t="s">
        <v>141</v>
      </c>
      <c r="F313" s="164" t="s">
        <v>142</v>
      </c>
      <c r="G313" s="164" t="s">
        <v>143</v>
      </c>
      <c r="H313" s="165" t="s">
        <v>144</v>
      </c>
      <c r="I313" s="165" t="s">
        <v>145</v>
      </c>
    </row>
    <row r="314" spans="1:10" outlineLevel="1">
      <c r="A314" s="230"/>
      <c r="B314" s="231" t="s">
        <v>146</v>
      </c>
      <c r="C314" s="232" t="s">
        <v>147</v>
      </c>
      <c r="D314" s="233"/>
      <c r="E314" s="234"/>
      <c r="F314" s="234"/>
      <c r="G314" s="716"/>
      <c r="H314" s="235"/>
      <c r="I314" s="236"/>
    </row>
    <row r="315" spans="1:10" outlineLevel="1">
      <c r="A315" s="230"/>
      <c r="B315" s="231"/>
      <c r="C315" s="232" t="s">
        <v>77</v>
      </c>
      <c r="D315" s="233"/>
      <c r="E315" s="231" t="s">
        <v>148</v>
      </c>
      <c r="F315" s="231" t="s">
        <v>76</v>
      </c>
      <c r="G315" s="173">
        <v>0.66</v>
      </c>
      <c r="H315" s="174">
        <f>VLOOKUP(C315,'UPAH-BAHAN'!D:F,2,0)</f>
        <v>120000</v>
      </c>
      <c r="I315" s="237">
        <f>G315*H315</f>
        <v>79200</v>
      </c>
    </row>
    <row r="316" spans="1:10" outlineLevel="1">
      <c r="A316" s="230"/>
      <c r="B316" s="231"/>
      <c r="C316" s="232" t="s">
        <v>78</v>
      </c>
      <c r="D316" s="233"/>
      <c r="E316" s="231" t="s">
        <v>149</v>
      </c>
      <c r="F316" s="231" t="s">
        <v>76</v>
      </c>
      <c r="G316" s="173">
        <v>0.33</v>
      </c>
      <c r="H316" s="174">
        <f>VLOOKUP(C316,'UPAH-BAHAN'!D:F,2,0)</f>
        <v>160000</v>
      </c>
      <c r="I316" s="237">
        <f>G316*H316</f>
        <v>52800</v>
      </c>
    </row>
    <row r="317" spans="1:10" outlineLevel="1">
      <c r="A317" s="230"/>
      <c r="B317" s="231"/>
      <c r="C317" s="232" t="s">
        <v>79</v>
      </c>
      <c r="D317" s="233"/>
      <c r="E317" s="231" t="s">
        <v>150</v>
      </c>
      <c r="F317" s="231" t="s">
        <v>76</v>
      </c>
      <c r="G317" s="165">
        <v>3.3000000000000002E-2</v>
      </c>
      <c r="H317" s="174">
        <f>VLOOKUP(C317,'UPAH-BAHAN'!D:F,2,0)</f>
        <v>170000</v>
      </c>
      <c r="I317" s="237">
        <f>G317*H317</f>
        <v>5610</v>
      </c>
    </row>
    <row r="318" spans="1:10" outlineLevel="1">
      <c r="A318" s="230"/>
      <c r="B318" s="231"/>
      <c r="C318" s="232" t="s">
        <v>80</v>
      </c>
      <c r="D318" s="233"/>
      <c r="E318" s="231" t="s">
        <v>151</v>
      </c>
      <c r="F318" s="231" t="s">
        <v>76</v>
      </c>
      <c r="G318" s="165">
        <v>3.3000000000000002E-2</v>
      </c>
      <c r="H318" s="174">
        <f>VLOOKUP(C318,'UPAH-BAHAN'!D:F,2,0)</f>
        <v>225000</v>
      </c>
      <c r="I318" s="237">
        <f>G318*H318</f>
        <v>7425</v>
      </c>
    </row>
    <row r="319" spans="1:10" outlineLevel="1">
      <c r="A319" s="230"/>
      <c r="B319" s="231"/>
      <c r="C319" s="232"/>
      <c r="D319" s="233"/>
      <c r="E319" s="234"/>
      <c r="F319" s="234"/>
      <c r="G319" s="717" t="s">
        <v>173</v>
      </c>
      <c r="H319" s="239"/>
      <c r="I319" s="237">
        <f>SUM(I315:I318)</f>
        <v>145035</v>
      </c>
    </row>
    <row r="320" spans="1:10" outlineLevel="1">
      <c r="A320" s="230"/>
      <c r="B320" s="231" t="s">
        <v>153</v>
      </c>
      <c r="C320" s="232" t="s">
        <v>154</v>
      </c>
      <c r="D320" s="233"/>
      <c r="E320" s="234"/>
      <c r="F320" s="234"/>
      <c r="G320" s="240"/>
      <c r="H320" s="235"/>
      <c r="I320" s="237"/>
    </row>
    <row r="321" spans="1:10" ht="16.2" outlineLevel="1">
      <c r="A321" s="230"/>
      <c r="B321" s="231"/>
      <c r="C321" s="232" t="s">
        <v>136</v>
      </c>
      <c r="D321" s="233"/>
      <c r="E321" s="234"/>
      <c r="F321" s="231" t="s">
        <v>338</v>
      </c>
      <c r="G321" s="173">
        <v>0.04</v>
      </c>
      <c r="H321" s="174">
        <f>VLOOKUP(C321,'UPAH-BAHAN'!D:F,2,0)</f>
        <v>3400000</v>
      </c>
      <c r="I321" s="237">
        <f t="shared" ref="I321:I326" si="0">G321*H321</f>
        <v>136000</v>
      </c>
    </row>
    <row r="322" spans="1:10" outlineLevel="1">
      <c r="A322" s="230"/>
      <c r="B322" s="231"/>
      <c r="C322" s="168" t="s">
        <v>209</v>
      </c>
      <c r="D322" s="233"/>
      <c r="E322" s="234"/>
      <c r="F322" s="231" t="s">
        <v>64</v>
      </c>
      <c r="G322" s="173">
        <v>0.4</v>
      </c>
      <c r="H322" s="174">
        <f>VLOOKUP(C322,'UPAH-BAHAN'!D:F,2,0)</f>
        <v>20000</v>
      </c>
      <c r="I322" s="237">
        <f t="shared" si="0"/>
        <v>8000</v>
      </c>
    </row>
    <row r="323" spans="1:10" outlineLevel="1">
      <c r="A323" s="230"/>
      <c r="B323" s="231"/>
      <c r="C323" s="232" t="s">
        <v>101</v>
      </c>
      <c r="D323" s="233"/>
      <c r="E323" s="234"/>
      <c r="F323" s="231" t="s">
        <v>100</v>
      </c>
      <c r="G323" s="173">
        <v>0.2</v>
      </c>
      <c r="H323" s="174">
        <f>VLOOKUP(C323,'UPAH-BAHAN'!D:F,2,0)</f>
        <v>35000</v>
      </c>
      <c r="I323" s="237">
        <f t="shared" si="0"/>
        <v>7000</v>
      </c>
    </row>
    <row r="324" spans="1:10" ht="16.2" outlineLevel="1">
      <c r="A324" s="230"/>
      <c r="B324" s="231"/>
      <c r="C324" s="232" t="s">
        <v>176</v>
      </c>
      <c r="D324" s="233"/>
      <c r="E324" s="234"/>
      <c r="F324" s="231" t="s">
        <v>338</v>
      </c>
      <c r="G324" s="173">
        <v>1.4999999999999999E-2</v>
      </c>
      <c r="H324" s="174">
        <f>VLOOKUP(C324,'UPAH-BAHAN'!D:F,2,0)</f>
        <v>6000000</v>
      </c>
      <c r="I324" s="237">
        <f t="shared" si="0"/>
        <v>90000</v>
      </c>
    </row>
    <row r="325" spans="1:10" outlineLevel="1">
      <c r="A325" s="230"/>
      <c r="B325" s="231"/>
      <c r="C325" s="168" t="s">
        <v>138</v>
      </c>
      <c r="D325" s="233"/>
      <c r="E325" s="234"/>
      <c r="F325" s="231" t="s">
        <v>110</v>
      </c>
      <c r="G325" s="173">
        <v>0.35</v>
      </c>
      <c r="H325" s="174">
        <f>VLOOKUP(C325,'UPAH-BAHAN'!D:F,2,0)</f>
        <v>110000</v>
      </c>
      <c r="I325" s="237">
        <f t="shared" si="0"/>
        <v>38500</v>
      </c>
    </row>
    <row r="326" spans="1:10" outlineLevel="1">
      <c r="A326" s="230"/>
      <c r="B326" s="231"/>
      <c r="C326" s="168" t="s">
        <v>177</v>
      </c>
      <c r="D326" s="233"/>
      <c r="E326" s="234"/>
      <c r="F326" s="231" t="s">
        <v>137</v>
      </c>
      <c r="G326" s="173">
        <v>2</v>
      </c>
      <c r="H326" s="174">
        <f>VLOOKUP(C326,'UPAH-BAHAN'!D:F,2,0)</f>
        <v>35000</v>
      </c>
      <c r="I326" s="237">
        <f t="shared" si="0"/>
        <v>70000</v>
      </c>
    </row>
    <row r="327" spans="1:10" outlineLevel="1">
      <c r="A327" s="230"/>
      <c r="B327" s="231"/>
      <c r="C327" s="232"/>
      <c r="D327" s="233"/>
      <c r="E327" s="234"/>
      <c r="F327" s="234"/>
      <c r="G327" s="340" t="s">
        <v>172</v>
      </c>
      <c r="H327" s="239"/>
      <c r="I327" s="237">
        <f>SUM(I321:I326)</f>
        <v>349500</v>
      </c>
    </row>
    <row r="328" spans="1:10" outlineLevel="1">
      <c r="A328" s="230"/>
      <c r="B328" s="231" t="s">
        <v>157</v>
      </c>
      <c r="C328" s="232" t="s">
        <v>158</v>
      </c>
      <c r="D328" s="233"/>
      <c r="E328" s="234"/>
      <c r="F328" s="234"/>
      <c r="G328" s="716"/>
      <c r="H328" s="235"/>
      <c r="I328" s="236"/>
    </row>
    <row r="329" spans="1:10" outlineLevel="1">
      <c r="A329" s="230"/>
      <c r="B329" s="231"/>
      <c r="C329" s="232"/>
      <c r="D329" s="233"/>
      <c r="E329" s="234"/>
      <c r="F329" s="234"/>
      <c r="G329" s="717" t="s">
        <v>159</v>
      </c>
      <c r="H329" s="239"/>
      <c r="I329" s="236">
        <v>0</v>
      </c>
    </row>
    <row r="330" spans="1:10" outlineLevel="1">
      <c r="A330" s="230"/>
      <c r="B330" s="231" t="s">
        <v>160</v>
      </c>
      <c r="C330" s="238" t="s">
        <v>161</v>
      </c>
      <c r="D330" s="241"/>
      <c r="E330" s="242"/>
      <c r="F330" s="242"/>
      <c r="G330" s="231"/>
      <c r="H330" s="239"/>
      <c r="I330" s="175">
        <f>I329+I327+I319</f>
        <v>494535</v>
      </c>
    </row>
    <row r="331" spans="1:10" outlineLevel="1">
      <c r="A331" s="230"/>
      <c r="B331" s="231" t="s">
        <v>162</v>
      </c>
      <c r="C331" s="243" t="s">
        <v>82</v>
      </c>
      <c r="D331" s="244"/>
      <c r="E331" s="242"/>
      <c r="F331" s="245"/>
      <c r="G331" s="180">
        <f>$J$3</f>
        <v>0.15</v>
      </c>
      <c r="H331" s="171"/>
      <c r="I331" s="175">
        <f>I330*G331</f>
        <v>74180.25</v>
      </c>
    </row>
    <row r="332" spans="1:10" outlineLevel="1">
      <c r="A332" s="230"/>
      <c r="B332" s="246" t="s">
        <v>163</v>
      </c>
      <c r="C332" s="247" t="s">
        <v>164</v>
      </c>
      <c r="D332" s="241"/>
      <c r="E332" s="242"/>
      <c r="F332" s="242"/>
      <c r="G332" s="231"/>
      <c r="H332" s="248"/>
      <c r="I332" s="249">
        <f>I330+I331</f>
        <v>568715.25</v>
      </c>
    </row>
    <row r="333" spans="1:10" outlineLevel="1">
      <c r="A333" s="230"/>
      <c r="B333" s="250"/>
      <c r="C333" s="230"/>
      <c r="D333" s="230"/>
      <c r="E333" s="230"/>
      <c r="F333" s="230"/>
      <c r="G333" s="250"/>
      <c r="H333" s="251"/>
      <c r="I333" s="252"/>
    </row>
    <row r="334" spans="1:10">
      <c r="A334" s="167" t="str">
        <f>B334</f>
        <v>A.4.1.1.36.</v>
      </c>
      <c r="B334" s="159" t="s">
        <v>94</v>
      </c>
      <c r="D334" s="167" t="s">
        <v>95</v>
      </c>
      <c r="E334" s="163"/>
      <c r="F334" s="163"/>
      <c r="G334" s="163"/>
      <c r="J334" s="172">
        <f>I359</f>
        <v>156808.25</v>
      </c>
    </row>
    <row r="335" spans="1:10" ht="31.2" outlineLevel="1">
      <c r="A335" s="163"/>
      <c r="B335" s="164" t="s">
        <v>75</v>
      </c>
      <c r="C335" s="1254" t="s">
        <v>140</v>
      </c>
      <c r="D335" s="1255"/>
      <c r="E335" s="164" t="s">
        <v>141</v>
      </c>
      <c r="F335" s="164" t="s">
        <v>142</v>
      </c>
      <c r="G335" s="164" t="s">
        <v>143</v>
      </c>
      <c r="H335" s="165" t="s">
        <v>144</v>
      </c>
      <c r="I335" s="165" t="s">
        <v>145</v>
      </c>
    </row>
    <row r="336" spans="1:10" outlineLevel="1">
      <c r="A336" s="253"/>
      <c r="B336" s="254" t="s">
        <v>146</v>
      </c>
      <c r="C336" s="1260" t="s">
        <v>147</v>
      </c>
      <c r="D336" s="1261"/>
      <c r="E336" s="170"/>
      <c r="F336" s="217"/>
      <c r="G336" s="217"/>
      <c r="H336" s="255"/>
      <c r="I336" s="256"/>
    </row>
    <row r="337" spans="1:9" outlineLevel="1">
      <c r="A337" s="253"/>
      <c r="B337" s="254"/>
      <c r="C337" s="1260" t="s">
        <v>77</v>
      </c>
      <c r="D337" s="1261"/>
      <c r="E337" s="165" t="s">
        <v>148</v>
      </c>
      <c r="F337" s="217" t="s">
        <v>76</v>
      </c>
      <c r="G337" s="258">
        <v>0.29699999999999999</v>
      </c>
      <c r="H337" s="174">
        <f>VLOOKUP(C337,'UPAH-BAHAN'!D:F,2,0)</f>
        <v>120000</v>
      </c>
      <c r="I337" s="259">
        <f t="shared" ref="I337:I342" si="1">G337*H337</f>
        <v>35640</v>
      </c>
    </row>
    <row r="338" spans="1:9" outlineLevel="1">
      <c r="A338" s="253"/>
      <c r="B338" s="254"/>
      <c r="C338" s="342" t="s">
        <v>86</v>
      </c>
      <c r="D338" s="343"/>
      <c r="E338" s="165" t="s">
        <v>149</v>
      </c>
      <c r="F338" s="217" t="s">
        <v>76</v>
      </c>
      <c r="G338" s="258">
        <v>3.3000000000000002E-2</v>
      </c>
      <c r="H338" s="174">
        <f>VLOOKUP(C338,'UPAH-BAHAN'!D:F,2,0)</f>
        <v>160000</v>
      </c>
      <c r="I338" s="259">
        <f t="shared" si="1"/>
        <v>5280</v>
      </c>
    </row>
    <row r="339" spans="1:9" outlineLevel="1">
      <c r="A339" s="253"/>
      <c r="B339" s="217"/>
      <c r="C339" s="218" t="s">
        <v>78</v>
      </c>
      <c r="D339" s="219"/>
      <c r="E339" s="165" t="s">
        <v>149</v>
      </c>
      <c r="F339" s="217" t="s">
        <v>76</v>
      </c>
      <c r="G339" s="258">
        <v>3.3000000000000002E-2</v>
      </c>
      <c r="H339" s="174">
        <f>VLOOKUP(C339,'UPAH-BAHAN'!D:F,2,0)</f>
        <v>160000</v>
      </c>
      <c r="I339" s="259">
        <f t="shared" si="1"/>
        <v>5280</v>
      </c>
    </row>
    <row r="340" spans="1:9" outlineLevel="1">
      <c r="A340" s="253"/>
      <c r="B340" s="217"/>
      <c r="C340" s="218" t="s">
        <v>106</v>
      </c>
      <c r="D340" s="219"/>
      <c r="E340" s="165" t="s">
        <v>149</v>
      </c>
      <c r="F340" s="217" t="s">
        <v>76</v>
      </c>
      <c r="G340" s="258">
        <v>3.3000000000000002E-2</v>
      </c>
      <c r="H340" s="174">
        <f>VLOOKUP(C340,'UPAH-BAHAN'!D:F,2,0)</f>
        <v>160000</v>
      </c>
      <c r="I340" s="259">
        <f t="shared" si="1"/>
        <v>5280</v>
      </c>
    </row>
    <row r="341" spans="1:9" outlineLevel="1">
      <c r="A341" s="253"/>
      <c r="B341" s="217"/>
      <c r="C341" s="218" t="s">
        <v>79</v>
      </c>
      <c r="D341" s="219"/>
      <c r="E341" s="165" t="s">
        <v>150</v>
      </c>
      <c r="F341" s="217" t="s">
        <v>76</v>
      </c>
      <c r="G341" s="258">
        <v>0.01</v>
      </c>
      <c r="H341" s="174">
        <f>VLOOKUP(C341,'UPAH-BAHAN'!D:F,2,0)</f>
        <v>170000</v>
      </c>
      <c r="I341" s="259">
        <f t="shared" si="1"/>
        <v>1700</v>
      </c>
    </row>
    <row r="342" spans="1:9" outlineLevel="1">
      <c r="A342" s="253"/>
      <c r="B342" s="217"/>
      <c r="C342" s="218" t="s">
        <v>80</v>
      </c>
      <c r="D342" s="219"/>
      <c r="E342" s="165" t="s">
        <v>151</v>
      </c>
      <c r="F342" s="217" t="s">
        <v>76</v>
      </c>
      <c r="G342" s="258">
        <v>1.4999999999999999E-2</v>
      </c>
      <c r="H342" s="174">
        <f>VLOOKUP(C342,'UPAH-BAHAN'!D:F,2,0)</f>
        <v>225000</v>
      </c>
      <c r="I342" s="259">
        <f t="shared" si="1"/>
        <v>3375</v>
      </c>
    </row>
    <row r="343" spans="1:9" outlineLevel="1">
      <c r="A343" s="253"/>
      <c r="B343" s="217"/>
      <c r="C343" s="1262"/>
      <c r="D343" s="1263"/>
      <c r="E343" s="170"/>
      <c r="F343" s="217"/>
      <c r="G343" s="254" t="s">
        <v>152</v>
      </c>
      <c r="H343" s="260"/>
      <c r="I343" s="259">
        <f>SUM(I337:I342)</f>
        <v>56555</v>
      </c>
    </row>
    <row r="344" spans="1:9" outlineLevel="1">
      <c r="A344" s="253"/>
      <c r="B344" s="254" t="s">
        <v>153</v>
      </c>
      <c r="C344" s="218" t="s">
        <v>154</v>
      </c>
      <c r="D344" s="219"/>
      <c r="E344" s="170"/>
      <c r="F344" s="217"/>
      <c r="G344" s="217"/>
      <c r="H344" s="174"/>
      <c r="I344" s="259"/>
    </row>
    <row r="345" spans="1:9" outlineLevel="1">
      <c r="A345" s="253"/>
      <c r="B345" s="254"/>
      <c r="C345" s="218" t="s">
        <v>132</v>
      </c>
      <c r="D345" s="219"/>
      <c r="E345" s="170"/>
      <c r="F345" s="217" t="s">
        <v>25</v>
      </c>
      <c r="G345" s="261">
        <v>3.0000000000000001E-3</v>
      </c>
      <c r="H345" s="174">
        <f>VLOOKUP(C345,'UPAH-BAHAN'!D:F,2,0)</f>
        <v>3400000</v>
      </c>
      <c r="I345" s="259">
        <f>H345*G345</f>
        <v>10200</v>
      </c>
    </row>
    <row r="346" spans="1:9" outlineLevel="1">
      <c r="A346" s="253"/>
      <c r="B346" s="254"/>
      <c r="C346" s="168" t="s">
        <v>209</v>
      </c>
      <c r="D346" s="219"/>
      <c r="E346" s="170"/>
      <c r="F346" s="217" t="s">
        <v>64</v>
      </c>
      <c r="G346" s="261">
        <v>0.02</v>
      </c>
      <c r="H346" s="174">
        <f>VLOOKUP(C346,'UPAH-BAHAN'!D:F,2,0)</f>
        <v>20000</v>
      </c>
      <c r="I346" s="259">
        <f t="shared" ref="I346:I352" si="2">H346*G346</f>
        <v>400</v>
      </c>
    </row>
    <row r="347" spans="1:9" outlineLevel="1">
      <c r="A347" s="253"/>
      <c r="B347" s="254"/>
      <c r="C347" s="218" t="s">
        <v>109</v>
      </c>
      <c r="D347" s="219"/>
      <c r="E347" s="170"/>
      <c r="F347" s="217" t="s">
        <v>64</v>
      </c>
      <c r="G347" s="261">
        <v>0.01</v>
      </c>
      <c r="H347" s="174">
        <f>VLOOKUP(C347,'UPAH-BAHAN'!D:F,2,0)</f>
        <v>35000</v>
      </c>
      <c r="I347" s="259">
        <f t="shared" si="2"/>
        <v>350</v>
      </c>
    </row>
    <row r="348" spans="1:9" outlineLevel="1">
      <c r="A348" s="253"/>
      <c r="B348" s="254"/>
      <c r="C348" s="218" t="s">
        <v>102</v>
      </c>
      <c r="D348" s="219"/>
      <c r="E348" s="170"/>
      <c r="F348" s="217" t="s">
        <v>64</v>
      </c>
      <c r="G348" s="261">
        <v>3.6</v>
      </c>
      <c r="H348" s="174">
        <f>VLOOKUP(C348,'UPAH-BAHAN'!D:F,2,0)</f>
        <v>14000</v>
      </c>
      <c r="I348" s="259">
        <f t="shared" si="2"/>
        <v>50400</v>
      </c>
    </row>
    <row r="349" spans="1:9" outlineLevel="1">
      <c r="A349" s="253"/>
      <c r="B349" s="217"/>
      <c r="C349" s="218" t="s">
        <v>107</v>
      </c>
      <c r="D349" s="219"/>
      <c r="E349" s="170"/>
      <c r="F349" s="217" t="s">
        <v>64</v>
      </c>
      <c r="G349" s="261">
        <v>0.05</v>
      </c>
      <c r="H349" s="174">
        <f>VLOOKUP(C349,'UPAH-BAHAN'!D:F,2,0)</f>
        <v>20000</v>
      </c>
      <c r="I349" s="259">
        <f t="shared" si="2"/>
        <v>1000</v>
      </c>
    </row>
    <row r="350" spans="1:9" outlineLevel="1">
      <c r="A350" s="253"/>
      <c r="B350" s="217"/>
      <c r="C350" s="218" t="s">
        <v>124</v>
      </c>
      <c r="D350" s="219"/>
      <c r="E350" s="170"/>
      <c r="F350" s="217" t="s">
        <v>64</v>
      </c>
      <c r="G350" s="261">
        <v>5.5</v>
      </c>
      <c r="H350" s="174">
        <f>VLOOKUP(C350,'UPAH-BAHAN'!D:F,2,0)</f>
        <v>1700</v>
      </c>
      <c r="I350" s="259">
        <f t="shared" si="2"/>
        <v>9350</v>
      </c>
    </row>
    <row r="351" spans="1:9" outlineLevel="1">
      <c r="A351" s="253"/>
      <c r="B351" s="217"/>
      <c r="C351" s="262" t="s">
        <v>90</v>
      </c>
      <c r="D351" s="263"/>
      <c r="E351" s="170"/>
      <c r="F351" s="217" t="s">
        <v>25</v>
      </c>
      <c r="G351" s="212">
        <v>8.9999999999999993E-3</v>
      </c>
      <c r="H351" s="174">
        <f>VLOOKUP(C351,'UPAH-BAHAN'!D:F,2,0)</f>
        <v>150000</v>
      </c>
      <c r="I351" s="259">
        <f t="shared" si="2"/>
        <v>1350</v>
      </c>
    </row>
    <row r="352" spans="1:9" outlineLevel="1">
      <c r="A352" s="253"/>
      <c r="B352" s="217"/>
      <c r="C352" s="342" t="s">
        <v>91</v>
      </c>
      <c r="D352" s="345"/>
      <c r="E352" s="170"/>
      <c r="F352" s="217" t="s">
        <v>25</v>
      </c>
      <c r="G352" s="264">
        <v>1.4999999999999999E-2</v>
      </c>
      <c r="H352" s="174">
        <f>VLOOKUP(C352,'UPAH-BAHAN'!D:F,2,0)</f>
        <v>450000</v>
      </c>
      <c r="I352" s="259">
        <f t="shared" si="2"/>
        <v>6750</v>
      </c>
    </row>
    <row r="353" spans="1:10" outlineLevel="1">
      <c r="A353" s="253"/>
      <c r="B353" s="217"/>
      <c r="C353" s="344"/>
      <c r="D353" s="345"/>
      <c r="E353" s="170"/>
      <c r="F353" s="217"/>
      <c r="G353" s="254" t="s">
        <v>156</v>
      </c>
      <c r="H353" s="174"/>
      <c r="I353" s="259">
        <f>SUM(I345:I352)</f>
        <v>79800</v>
      </c>
    </row>
    <row r="354" spans="1:10" outlineLevel="1">
      <c r="A354" s="253"/>
      <c r="B354" s="217" t="s">
        <v>157</v>
      </c>
      <c r="C354" s="218" t="s">
        <v>158</v>
      </c>
      <c r="D354" s="219"/>
      <c r="E354" s="170"/>
      <c r="F354" s="217"/>
      <c r="G354" s="217"/>
      <c r="H354" s="174"/>
      <c r="I354" s="259"/>
    </row>
    <row r="355" spans="1:10" outlineLevel="1">
      <c r="A355" s="253"/>
      <c r="B355" s="217"/>
      <c r="C355" s="1262"/>
      <c r="D355" s="1263"/>
      <c r="E355" s="170"/>
      <c r="F355" s="217"/>
      <c r="G355" s="217"/>
      <c r="H355" s="174"/>
      <c r="I355" s="259"/>
    </row>
    <row r="356" spans="1:10" outlineLevel="1">
      <c r="A356" s="253"/>
      <c r="B356" s="217"/>
      <c r="C356" s="1262"/>
      <c r="D356" s="1263"/>
      <c r="E356" s="170"/>
      <c r="F356" s="217"/>
      <c r="G356" s="254" t="s">
        <v>159</v>
      </c>
      <c r="H356" s="174"/>
      <c r="I356" s="259">
        <f>SUM(I354:I355)</f>
        <v>0</v>
      </c>
    </row>
    <row r="357" spans="1:10" outlineLevel="1">
      <c r="A357" s="253"/>
      <c r="B357" s="217" t="s">
        <v>160</v>
      </c>
      <c r="C357" s="218" t="s">
        <v>161</v>
      </c>
      <c r="D357" s="219"/>
      <c r="E357" s="171"/>
      <c r="F357" s="265"/>
      <c r="G357" s="217"/>
      <c r="H357" s="174"/>
      <c r="I357" s="259">
        <f>I343+I353+I356</f>
        <v>136355</v>
      </c>
    </row>
    <row r="358" spans="1:10" outlineLevel="1">
      <c r="B358" s="165" t="s">
        <v>162</v>
      </c>
      <c r="C358" s="168" t="s">
        <v>82</v>
      </c>
      <c r="D358" s="169"/>
      <c r="E358" s="194"/>
      <c r="F358" s="179"/>
      <c r="G358" s="180">
        <f>$J$3</f>
        <v>0.15</v>
      </c>
      <c r="H358" s="171"/>
      <c r="I358" s="175">
        <f>I357*G358</f>
        <v>20453.25</v>
      </c>
    </row>
    <row r="359" spans="1:10" outlineLevel="1">
      <c r="A359" s="253"/>
      <c r="B359" s="217" t="s">
        <v>163</v>
      </c>
      <c r="C359" s="218" t="s">
        <v>164</v>
      </c>
      <c r="D359" s="219"/>
      <c r="E359" s="171"/>
      <c r="F359" s="265"/>
      <c r="G359" s="217"/>
      <c r="H359" s="174"/>
      <c r="I359" s="259">
        <f>I357+I358</f>
        <v>156808.25</v>
      </c>
      <c r="J359" s="172" t="s">
        <v>89</v>
      </c>
    </row>
    <row r="360" spans="1:10" outlineLevel="1">
      <c r="A360" s="253"/>
      <c r="B360" s="266"/>
      <c r="C360" s="267"/>
      <c r="D360" s="268"/>
      <c r="E360" s="186"/>
      <c r="F360" s="268"/>
      <c r="G360" s="266"/>
      <c r="H360" s="204"/>
      <c r="I360" s="269"/>
    </row>
    <row r="361" spans="1:10">
      <c r="A361" s="167" t="str">
        <f>B361</f>
        <v>A.4.1.1.35.</v>
      </c>
      <c r="B361" s="159" t="s">
        <v>178</v>
      </c>
      <c r="D361" s="159" t="s">
        <v>227</v>
      </c>
      <c r="H361" s="271"/>
      <c r="I361" s="272"/>
      <c r="J361" s="172">
        <f>I386</f>
        <v>119594.25</v>
      </c>
    </row>
    <row r="362" spans="1:10" ht="31.2" outlineLevel="1">
      <c r="A362" s="163"/>
      <c r="B362" s="164" t="s">
        <v>75</v>
      </c>
      <c r="C362" s="1254" t="s">
        <v>140</v>
      </c>
      <c r="D362" s="1255"/>
      <c r="E362" s="164" t="s">
        <v>141</v>
      </c>
      <c r="F362" s="164" t="s">
        <v>142</v>
      </c>
      <c r="G362" s="164" t="s">
        <v>143</v>
      </c>
      <c r="H362" s="165" t="s">
        <v>144</v>
      </c>
      <c r="I362" s="165" t="s">
        <v>145</v>
      </c>
      <c r="J362" s="166"/>
    </row>
    <row r="363" spans="1:10" outlineLevel="1">
      <c r="B363" s="165" t="s">
        <v>146</v>
      </c>
      <c r="C363" s="168" t="s">
        <v>147</v>
      </c>
      <c r="D363" s="169"/>
      <c r="E363" s="170"/>
      <c r="F363" s="274"/>
      <c r="G363" s="274"/>
      <c r="H363" s="188"/>
      <c r="I363" s="188"/>
      <c r="J363" s="273"/>
    </row>
    <row r="364" spans="1:10" outlineLevel="1">
      <c r="B364" s="165"/>
      <c r="C364" s="168" t="s">
        <v>77</v>
      </c>
      <c r="D364" s="169"/>
      <c r="E364" s="165" t="s">
        <v>148</v>
      </c>
      <c r="F364" s="275" t="s">
        <v>76</v>
      </c>
      <c r="G364" s="276">
        <v>0.18</v>
      </c>
      <c r="H364" s="174">
        <f>VLOOKUP(C364,'UPAH-BAHAN'!D:F,2,0)</f>
        <v>120000</v>
      </c>
      <c r="I364" s="188">
        <f t="shared" ref="I364:I369" si="3">G364*H364</f>
        <v>21600</v>
      </c>
      <c r="J364" s="273"/>
    </row>
    <row r="365" spans="1:10" outlineLevel="1">
      <c r="B365" s="165"/>
      <c r="C365" s="168" t="s">
        <v>96</v>
      </c>
      <c r="D365" s="169"/>
      <c r="E365" s="165" t="s">
        <v>149</v>
      </c>
      <c r="F365" s="275" t="s">
        <v>76</v>
      </c>
      <c r="G365" s="276">
        <v>0.02</v>
      </c>
      <c r="H365" s="174">
        <f>VLOOKUP(C365,'UPAH-BAHAN'!D:F,2,0)</f>
        <v>160000</v>
      </c>
      <c r="I365" s="188">
        <f t="shared" si="3"/>
        <v>3200</v>
      </c>
      <c r="J365" s="273"/>
    </row>
    <row r="366" spans="1:10" outlineLevel="1">
      <c r="B366" s="165"/>
      <c r="C366" s="168" t="s">
        <v>97</v>
      </c>
      <c r="D366" s="169"/>
      <c r="E366" s="165" t="s">
        <v>149</v>
      </c>
      <c r="F366" s="275" t="s">
        <v>76</v>
      </c>
      <c r="G366" s="276">
        <v>0.02</v>
      </c>
      <c r="H366" s="174">
        <f>VLOOKUP(C366,'UPAH-BAHAN'!D:F,2,0)</f>
        <v>160000</v>
      </c>
      <c r="I366" s="188">
        <f t="shared" si="3"/>
        <v>3200</v>
      </c>
      <c r="J366" s="273"/>
    </row>
    <row r="367" spans="1:10" outlineLevel="1">
      <c r="B367" s="165"/>
      <c r="C367" s="168" t="s">
        <v>98</v>
      </c>
      <c r="D367" s="169"/>
      <c r="E367" s="165" t="s">
        <v>149</v>
      </c>
      <c r="F367" s="275" t="s">
        <v>76</v>
      </c>
      <c r="G367" s="276">
        <v>0.02</v>
      </c>
      <c r="H367" s="174">
        <f>VLOOKUP(C367,'UPAH-BAHAN'!D:F,2,0)</f>
        <v>160000</v>
      </c>
      <c r="I367" s="188">
        <f t="shared" si="3"/>
        <v>3200</v>
      </c>
      <c r="J367" s="273"/>
    </row>
    <row r="368" spans="1:10" outlineLevel="1">
      <c r="B368" s="165"/>
      <c r="C368" s="168" t="s">
        <v>99</v>
      </c>
      <c r="D368" s="169"/>
      <c r="E368" s="165" t="s">
        <v>150</v>
      </c>
      <c r="F368" s="275" t="s">
        <v>76</v>
      </c>
      <c r="G368" s="275">
        <v>6.0000000000000001E-3</v>
      </c>
      <c r="H368" s="174">
        <f>VLOOKUP(C368,'UPAH-BAHAN'!D:F,2,0)</f>
        <v>170000</v>
      </c>
      <c r="I368" s="188">
        <f t="shared" si="3"/>
        <v>1020</v>
      </c>
      <c r="J368" s="273"/>
    </row>
    <row r="369" spans="2:10" outlineLevel="1">
      <c r="B369" s="165"/>
      <c r="C369" s="168" t="s">
        <v>80</v>
      </c>
      <c r="D369" s="169"/>
      <c r="E369" s="165" t="s">
        <v>151</v>
      </c>
      <c r="F369" s="275" t="s">
        <v>76</v>
      </c>
      <c r="G369" s="275">
        <v>8.9999999999999993E-3</v>
      </c>
      <c r="H369" s="174">
        <f>VLOOKUP(C369,'UPAH-BAHAN'!D:F,2,0)</f>
        <v>225000</v>
      </c>
      <c r="I369" s="188">
        <f t="shared" si="3"/>
        <v>2024.9999999999998</v>
      </c>
      <c r="J369" s="273"/>
    </row>
    <row r="370" spans="2:10" outlineLevel="1">
      <c r="B370" s="165"/>
      <c r="C370" s="168"/>
      <c r="D370" s="169"/>
      <c r="E370" s="170"/>
      <c r="F370" s="274"/>
      <c r="G370" s="340" t="s">
        <v>171</v>
      </c>
      <c r="H370" s="277"/>
      <c r="I370" s="188">
        <f>SUM(I364:I369)</f>
        <v>34245</v>
      </c>
      <c r="J370" s="273"/>
    </row>
    <row r="371" spans="2:10" outlineLevel="1">
      <c r="B371" s="165" t="s">
        <v>153</v>
      </c>
      <c r="C371" s="168" t="s">
        <v>154</v>
      </c>
      <c r="D371" s="169"/>
      <c r="E371" s="170"/>
      <c r="F371" s="274"/>
      <c r="G371" s="274"/>
      <c r="H371" s="188"/>
      <c r="I371" s="188"/>
      <c r="J371" s="273"/>
    </row>
    <row r="372" spans="2:10" outlineLevel="1">
      <c r="B372" s="165"/>
      <c r="C372" s="278" t="s">
        <v>155</v>
      </c>
      <c r="D372" s="169"/>
      <c r="E372" s="170"/>
      <c r="F372" s="275" t="s">
        <v>25</v>
      </c>
      <c r="G372" s="275">
        <v>2E-3</v>
      </c>
      <c r="H372" s="174">
        <f>VLOOKUP(C372,'UPAH-BAHAN'!D:F,2,0)</f>
        <v>3400000</v>
      </c>
      <c r="I372" s="188">
        <f>G372*H372</f>
        <v>6800</v>
      </c>
      <c r="J372" s="273"/>
    </row>
    <row r="373" spans="2:10" outlineLevel="1">
      <c r="B373" s="165"/>
      <c r="C373" s="168" t="s">
        <v>209</v>
      </c>
      <c r="D373" s="169"/>
      <c r="E373" s="170"/>
      <c r="F373" s="275" t="s">
        <v>69</v>
      </c>
      <c r="G373" s="276">
        <v>0.01</v>
      </c>
      <c r="H373" s="174">
        <f>VLOOKUP(C373,'UPAH-BAHAN'!D:F,2,0)</f>
        <v>20000</v>
      </c>
      <c r="I373" s="188">
        <f t="shared" ref="I373:I379" si="4">G373*H373</f>
        <v>200</v>
      </c>
      <c r="J373" s="273"/>
    </row>
    <row r="374" spans="2:10" outlineLevel="1">
      <c r="B374" s="165"/>
      <c r="C374" s="168" t="s">
        <v>101</v>
      </c>
      <c r="D374" s="169"/>
      <c r="E374" s="170"/>
      <c r="F374" s="275" t="s">
        <v>100</v>
      </c>
      <c r="G374" s="276"/>
      <c r="H374" s="174">
        <f>VLOOKUP(C374,'UPAH-BAHAN'!D:F,2,0)</f>
        <v>35000</v>
      </c>
      <c r="I374" s="188">
        <f>G374*H374</f>
        <v>0</v>
      </c>
      <c r="J374" s="273"/>
    </row>
    <row r="375" spans="2:10" outlineLevel="1">
      <c r="B375" s="165"/>
      <c r="C375" s="168" t="s">
        <v>102</v>
      </c>
      <c r="D375" s="169"/>
      <c r="E375" s="170"/>
      <c r="F375" s="275" t="s">
        <v>64</v>
      </c>
      <c r="G375" s="276">
        <v>3</v>
      </c>
      <c r="H375" s="174">
        <f>VLOOKUP(C375,'UPAH-BAHAN'!D:F,2,0)</f>
        <v>14000</v>
      </c>
      <c r="I375" s="188">
        <f t="shared" si="4"/>
        <v>42000</v>
      </c>
      <c r="J375" s="273"/>
    </row>
    <row r="376" spans="2:10" outlineLevel="1">
      <c r="B376" s="165"/>
      <c r="C376" s="168" t="s">
        <v>103</v>
      </c>
      <c r="D376" s="169"/>
      <c r="E376" s="170"/>
      <c r="F376" s="275" t="s">
        <v>64</v>
      </c>
      <c r="G376" s="276">
        <v>0.45</v>
      </c>
      <c r="H376" s="174">
        <f>VLOOKUP(C376,'UPAH-BAHAN'!D:F,2,0)</f>
        <v>20000</v>
      </c>
      <c r="I376" s="188">
        <f t="shared" si="4"/>
        <v>9000</v>
      </c>
      <c r="J376" s="273"/>
    </row>
    <row r="377" spans="2:10" outlineLevel="1">
      <c r="B377" s="165"/>
      <c r="C377" s="168" t="s">
        <v>124</v>
      </c>
      <c r="D377" s="169"/>
      <c r="E377" s="170"/>
      <c r="F377" s="275" t="s">
        <v>64</v>
      </c>
      <c r="G377" s="276">
        <v>4</v>
      </c>
      <c r="H377" s="174">
        <f>VLOOKUP(C377,'UPAH-BAHAN'!D:F,2,0)</f>
        <v>1700</v>
      </c>
      <c r="I377" s="188">
        <f t="shared" si="4"/>
        <v>6800</v>
      </c>
      <c r="J377" s="273"/>
    </row>
    <row r="378" spans="2:10" outlineLevel="1">
      <c r="B378" s="165"/>
      <c r="C378" s="168" t="s">
        <v>131</v>
      </c>
      <c r="D378" s="169"/>
      <c r="E378" s="170"/>
      <c r="F378" s="275" t="s">
        <v>25</v>
      </c>
      <c r="G378" s="275">
        <v>6.0000000000000001E-3</v>
      </c>
      <c r="H378" s="174">
        <f>VLOOKUP(C378,'UPAH-BAHAN'!D:F,2,0)</f>
        <v>150000</v>
      </c>
      <c r="I378" s="188">
        <f t="shared" si="4"/>
        <v>900</v>
      </c>
      <c r="J378" s="273"/>
    </row>
    <row r="379" spans="2:10" outlineLevel="1">
      <c r="B379" s="165"/>
      <c r="C379" s="168" t="s">
        <v>91</v>
      </c>
      <c r="D379" s="169"/>
      <c r="E379" s="170"/>
      <c r="F379" s="275" t="s">
        <v>25</v>
      </c>
      <c r="G379" s="275">
        <v>8.9999999999999993E-3</v>
      </c>
      <c r="H379" s="174">
        <f>VLOOKUP(C379,'UPAH-BAHAN'!D:F,2,0)</f>
        <v>450000</v>
      </c>
      <c r="I379" s="188">
        <f t="shared" si="4"/>
        <v>4049.9999999999995</v>
      </c>
      <c r="J379" s="273"/>
    </row>
    <row r="380" spans="2:10" outlineLevel="1">
      <c r="B380" s="165"/>
      <c r="C380" s="168"/>
      <c r="D380" s="169"/>
      <c r="E380" s="170"/>
      <c r="F380" s="274"/>
      <c r="G380" s="340" t="s">
        <v>172</v>
      </c>
      <c r="H380" s="277"/>
      <c r="I380" s="188">
        <f>SUM(I372:I379)</f>
        <v>69750</v>
      </c>
      <c r="J380" s="273"/>
    </row>
    <row r="381" spans="2:10" outlineLevel="1">
      <c r="B381" s="165" t="s">
        <v>157</v>
      </c>
      <c r="C381" s="168" t="s">
        <v>158</v>
      </c>
      <c r="D381" s="169"/>
      <c r="E381" s="170"/>
      <c r="F381" s="274"/>
      <c r="G381" s="274"/>
      <c r="H381" s="188"/>
      <c r="I381" s="188"/>
      <c r="J381" s="273"/>
    </row>
    <row r="382" spans="2:10" outlineLevel="1">
      <c r="B382" s="165"/>
      <c r="C382" s="168"/>
      <c r="D382" s="169"/>
      <c r="E382" s="170"/>
      <c r="F382" s="274"/>
      <c r="G382" s="340" t="s">
        <v>179</v>
      </c>
      <c r="H382" s="277"/>
      <c r="I382" s="188">
        <v>0</v>
      </c>
      <c r="J382" s="273"/>
    </row>
    <row r="383" spans="2:10" outlineLevel="1">
      <c r="B383" s="165"/>
      <c r="C383" s="168"/>
      <c r="D383" s="169"/>
      <c r="E383" s="170"/>
      <c r="F383" s="274"/>
      <c r="G383" s="274"/>
      <c r="H383" s="188"/>
      <c r="I383" s="188"/>
      <c r="J383" s="273"/>
    </row>
    <row r="384" spans="2:10" outlineLevel="1">
      <c r="B384" s="165" t="s">
        <v>160</v>
      </c>
      <c r="C384" s="168" t="s">
        <v>161</v>
      </c>
      <c r="D384" s="169"/>
      <c r="E384" s="171"/>
      <c r="F384" s="279"/>
      <c r="G384" s="275"/>
      <c r="H384" s="188"/>
      <c r="I384" s="188">
        <f>I382+I380+I370</f>
        <v>103995</v>
      </c>
      <c r="J384" s="273"/>
    </row>
    <row r="385" spans="1:10" outlineLevel="1">
      <c r="B385" s="165" t="s">
        <v>162</v>
      </c>
      <c r="C385" s="168" t="s">
        <v>82</v>
      </c>
      <c r="D385" s="169"/>
      <c r="E385" s="194"/>
      <c r="F385" s="179"/>
      <c r="G385" s="180">
        <f>$J$3</f>
        <v>0.15</v>
      </c>
      <c r="H385" s="171"/>
      <c r="I385" s="175">
        <f>I384*G385</f>
        <v>15599.25</v>
      </c>
    </row>
    <row r="386" spans="1:10" outlineLevel="1">
      <c r="B386" s="165" t="s">
        <v>163</v>
      </c>
      <c r="C386" s="168" t="s">
        <v>164</v>
      </c>
      <c r="D386" s="169"/>
      <c r="E386" s="171"/>
      <c r="F386" s="279"/>
      <c r="G386" s="275"/>
      <c r="H386" s="188"/>
      <c r="I386" s="188">
        <f>SUM(I384:I385)</f>
        <v>119594.25</v>
      </c>
      <c r="J386" s="273"/>
    </row>
    <row r="387" spans="1:10" outlineLevel="1">
      <c r="B387" s="184"/>
      <c r="D387" s="186"/>
      <c r="E387" s="186"/>
      <c r="F387" s="280"/>
      <c r="G387" s="718"/>
      <c r="H387" s="281"/>
      <c r="I387" s="281"/>
      <c r="J387" s="273"/>
    </row>
    <row r="388" spans="1:10">
      <c r="A388" s="167" t="str">
        <f>B388</f>
        <v>A.4.1.1.35.</v>
      </c>
      <c r="B388" s="159" t="s">
        <v>178</v>
      </c>
      <c r="D388" s="159" t="s">
        <v>727</v>
      </c>
      <c r="H388" s="271"/>
      <c r="I388" s="272"/>
      <c r="J388" s="172" t="e">
        <f>I399</f>
        <v>#REF!</v>
      </c>
    </row>
    <row r="389" spans="1:10" ht="31.2" outlineLevel="1">
      <c r="A389" s="163"/>
      <c r="B389" s="164" t="s">
        <v>75</v>
      </c>
      <c r="C389" s="1254" t="s">
        <v>140</v>
      </c>
      <c r="D389" s="1255"/>
      <c r="E389" s="164" t="s">
        <v>141</v>
      </c>
      <c r="F389" s="164" t="s">
        <v>142</v>
      </c>
      <c r="G389" s="164" t="s">
        <v>143</v>
      </c>
      <c r="H389" s="165" t="s">
        <v>144</v>
      </c>
      <c r="I389" s="165" t="s">
        <v>145</v>
      </c>
      <c r="J389" s="166"/>
    </row>
    <row r="390" spans="1:10" outlineLevel="1">
      <c r="B390" s="165" t="s">
        <v>146</v>
      </c>
      <c r="C390" s="168" t="s">
        <v>147</v>
      </c>
      <c r="D390" s="169"/>
      <c r="E390" s="170"/>
      <c r="F390" s="274"/>
      <c r="G390" s="274"/>
      <c r="H390" s="188"/>
      <c r="I390" s="188"/>
      <c r="J390" s="273"/>
    </row>
    <row r="391" spans="1:10" outlineLevel="1">
      <c r="B391" s="165"/>
      <c r="C391" s="168" t="s">
        <v>728</v>
      </c>
      <c r="D391" s="169"/>
      <c r="E391" s="165" t="s">
        <v>148</v>
      </c>
      <c r="F391" s="275" t="s">
        <v>81</v>
      </c>
      <c r="G391" s="276">
        <f>0.23*0.3*1</f>
        <v>6.9000000000000006E-2</v>
      </c>
      <c r="H391" s="174" t="e">
        <f>VLOOKUP(C391,'UPAH-BAHAN'!D:F,2,0)</f>
        <v>#N/A</v>
      </c>
      <c r="I391" s="188" t="e">
        <f t="shared" ref="I391:I394" si="5">G391*H391</f>
        <v>#N/A</v>
      </c>
      <c r="J391" s="273"/>
    </row>
    <row r="392" spans="1:10" outlineLevel="1">
      <c r="B392" s="165"/>
      <c r="C392" s="168" t="s">
        <v>729</v>
      </c>
      <c r="D392" s="169"/>
      <c r="E392" s="165" t="s">
        <v>149</v>
      </c>
      <c r="F392" s="275" t="s">
        <v>69</v>
      </c>
      <c r="G392" s="276">
        <v>0.02</v>
      </c>
      <c r="H392" s="174" t="e">
        <f>VLOOKUP(C392,'UPAH-BAHAN'!D:F,2,0)</f>
        <v>#N/A</v>
      </c>
      <c r="I392" s="188" t="e">
        <f t="shared" si="5"/>
        <v>#N/A</v>
      </c>
      <c r="J392" s="273"/>
    </row>
    <row r="393" spans="1:10" outlineLevel="1">
      <c r="B393" s="165"/>
      <c r="C393" s="168" t="s">
        <v>730</v>
      </c>
      <c r="D393" s="169"/>
      <c r="E393" s="165" t="s">
        <v>149</v>
      </c>
      <c r="F393" s="275" t="s">
        <v>69</v>
      </c>
      <c r="G393" s="276">
        <v>0.02</v>
      </c>
      <c r="H393" s="174" t="e">
        <f>VLOOKUP(C393,'UPAH-BAHAN'!D:F,2,0)</f>
        <v>#N/A</v>
      </c>
      <c r="I393" s="188" t="e">
        <f t="shared" si="5"/>
        <v>#N/A</v>
      </c>
      <c r="J393" s="273"/>
    </row>
    <row r="394" spans="1:10" outlineLevel="1">
      <c r="B394" s="165"/>
      <c r="C394" s="168" t="s">
        <v>244</v>
      </c>
      <c r="D394" s="169"/>
      <c r="E394" s="165" t="s">
        <v>149</v>
      </c>
      <c r="F394" s="275" t="s">
        <v>133</v>
      </c>
      <c r="G394" s="276">
        <v>0.02</v>
      </c>
      <c r="H394" s="174" t="e">
        <f>VLOOKUP(C394,'UPAH-BAHAN'!D:F,2,0)</f>
        <v>#N/A</v>
      </c>
      <c r="I394" s="188" t="e">
        <f t="shared" si="5"/>
        <v>#N/A</v>
      </c>
      <c r="J394" s="273"/>
    </row>
    <row r="395" spans="1:10" outlineLevel="1">
      <c r="B395" s="165"/>
      <c r="C395" s="168"/>
      <c r="D395" s="169"/>
      <c r="E395" s="170"/>
      <c r="F395" s="274"/>
      <c r="G395" s="340" t="s">
        <v>179</v>
      </c>
      <c r="H395" s="277"/>
      <c r="I395" s="188">
        <v>0</v>
      </c>
      <c r="J395" s="273"/>
    </row>
    <row r="396" spans="1:10" outlineLevel="1">
      <c r="B396" s="165"/>
      <c r="C396" s="168"/>
      <c r="D396" s="169"/>
      <c r="E396" s="170"/>
      <c r="F396" s="274"/>
      <c r="G396" s="274"/>
      <c r="H396" s="188"/>
      <c r="I396" s="188"/>
      <c r="J396" s="273"/>
    </row>
    <row r="397" spans="1:10" outlineLevel="1">
      <c r="B397" s="165" t="s">
        <v>160</v>
      </c>
      <c r="C397" s="168" t="s">
        <v>161</v>
      </c>
      <c r="D397" s="169"/>
      <c r="E397" s="171"/>
      <c r="F397" s="279"/>
      <c r="G397" s="275"/>
      <c r="H397" s="188"/>
      <c r="I397" s="188" t="e">
        <f>I395+#REF!+#REF!</f>
        <v>#REF!</v>
      </c>
      <c r="J397" s="273"/>
    </row>
    <row r="398" spans="1:10" outlineLevel="1">
      <c r="B398" s="165" t="s">
        <v>162</v>
      </c>
      <c r="C398" s="168" t="s">
        <v>82</v>
      </c>
      <c r="D398" s="169"/>
      <c r="E398" s="194"/>
      <c r="F398" s="179"/>
      <c r="G398" s="180">
        <f>$J$3</f>
        <v>0.15</v>
      </c>
      <c r="H398" s="171"/>
      <c r="I398" s="175" t="e">
        <f>I397*G398</f>
        <v>#REF!</v>
      </c>
    </row>
    <row r="399" spans="1:10" outlineLevel="1">
      <c r="B399" s="165" t="s">
        <v>163</v>
      </c>
      <c r="C399" s="168" t="s">
        <v>164</v>
      </c>
      <c r="D399" s="169"/>
      <c r="E399" s="171"/>
      <c r="F399" s="279"/>
      <c r="G399" s="275"/>
      <c r="H399" s="188"/>
      <c r="I399" s="188" t="e">
        <f>SUM(I397:I398)</f>
        <v>#REF!</v>
      </c>
      <c r="J399" s="273"/>
    </row>
    <row r="400" spans="1:10" outlineLevel="1">
      <c r="B400" s="184"/>
      <c r="D400" s="186"/>
      <c r="E400" s="186"/>
      <c r="F400" s="280"/>
      <c r="G400" s="718"/>
      <c r="H400" s="281"/>
      <c r="I400" s="281"/>
      <c r="J400" s="273"/>
    </row>
    <row r="401" spans="1:10">
      <c r="B401" s="184"/>
      <c r="D401" s="186"/>
      <c r="E401" s="186"/>
      <c r="F401" s="280"/>
      <c r="G401" s="718"/>
      <c r="H401" s="281"/>
      <c r="I401" s="281"/>
      <c r="J401" s="273"/>
    </row>
    <row r="402" spans="1:10" ht="20.399999999999999">
      <c r="A402" s="155"/>
      <c r="B402" s="571" t="s">
        <v>180</v>
      </c>
      <c r="C402" s="156"/>
      <c r="D402" s="156"/>
      <c r="E402" s="156"/>
      <c r="F402" s="156"/>
      <c r="G402" s="712"/>
      <c r="H402" s="157"/>
      <c r="I402" s="156"/>
      <c r="J402" s="158"/>
    </row>
    <row r="403" spans="1:10">
      <c r="A403" s="159" t="str">
        <f>B403</f>
        <v>A.4.4.1.1</v>
      </c>
      <c r="B403" s="487" t="s">
        <v>431</v>
      </c>
      <c r="C403" s="347"/>
      <c r="D403" s="105" t="s">
        <v>432</v>
      </c>
      <c r="E403" s="159"/>
      <c r="F403" s="159"/>
      <c r="G403" s="163"/>
      <c r="H403" s="161"/>
      <c r="I403" s="160"/>
      <c r="J403" s="282">
        <f>I420</f>
        <v>163185</v>
      </c>
    </row>
    <row r="404" spans="1:10" ht="31.2" outlineLevel="1">
      <c r="A404" s="163"/>
      <c r="B404" s="164" t="s">
        <v>75</v>
      </c>
      <c r="C404" s="1254" t="s">
        <v>140</v>
      </c>
      <c r="D404" s="1255"/>
      <c r="E404" s="164" t="s">
        <v>141</v>
      </c>
      <c r="F404" s="164" t="s">
        <v>142</v>
      </c>
      <c r="G404" s="164" t="s">
        <v>143</v>
      </c>
      <c r="H404" s="165" t="s">
        <v>144</v>
      </c>
      <c r="I404" s="165" t="s">
        <v>145</v>
      </c>
      <c r="J404" s="166"/>
    </row>
    <row r="405" spans="1:10" outlineLevel="1">
      <c r="B405" s="165" t="s">
        <v>146</v>
      </c>
      <c r="C405" s="168" t="s">
        <v>147</v>
      </c>
      <c r="D405" s="169"/>
      <c r="E405" s="170"/>
      <c r="F405" s="170"/>
      <c r="G405" s="170"/>
      <c r="H405" s="283"/>
      <c r="I405" s="283"/>
      <c r="J405" s="273"/>
    </row>
    <row r="406" spans="1:10" outlineLevel="1">
      <c r="B406" s="165"/>
      <c r="C406" s="480" t="s">
        <v>77</v>
      </c>
      <c r="D406" s="481"/>
      <c r="E406" s="482" t="s">
        <v>148</v>
      </c>
      <c r="F406" s="482" t="s">
        <v>76</v>
      </c>
      <c r="G406" s="483">
        <v>0.15</v>
      </c>
      <c r="H406" s="174">
        <f>VLOOKUP(C406,'UPAH-BAHAN'!D:F,2,0)</f>
        <v>120000</v>
      </c>
      <c r="I406" s="284">
        <f>G406*H406</f>
        <v>18000</v>
      </c>
      <c r="J406" s="273"/>
    </row>
    <row r="407" spans="1:10" outlineLevel="1">
      <c r="B407" s="165"/>
      <c r="C407" s="480" t="s">
        <v>86</v>
      </c>
      <c r="D407" s="481"/>
      <c r="E407" s="482" t="s">
        <v>150</v>
      </c>
      <c r="F407" s="482" t="s">
        <v>76</v>
      </c>
      <c r="G407" s="483">
        <v>0.2</v>
      </c>
      <c r="H407" s="174">
        <f>VLOOKUP(C407,'UPAH-BAHAN'!D:F,2,0)</f>
        <v>160000</v>
      </c>
      <c r="I407" s="284">
        <f>G407*H407</f>
        <v>32000</v>
      </c>
      <c r="J407" s="273"/>
    </row>
    <row r="408" spans="1:10" outlineLevel="1">
      <c r="B408" s="165"/>
      <c r="C408" s="480" t="s">
        <v>79</v>
      </c>
      <c r="D408" s="481"/>
      <c r="E408" s="482" t="s">
        <v>150</v>
      </c>
      <c r="F408" s="482" t="s">
        <v>76</v>
      </c>
      <c r="G408" s="483">
        <v>0.02</v>
      </c>
      <c r="H408" s="174">
        <f>VLOOKUP(C408,'UPAH-BAHAN'!D:F,2,0)</f>
        <v>170000</v>
      </c>
      <c r="I408" s="284">
        <f>G408*H408</f>
        <v>3400</v>
      </c>
      <c r="J408" s="273"/>
    </row>
    <row r="409" spans="1:10" outlineLevel="1">
      <c r="B409" s="165"/>
      <c r="C409" s="480" t="s">
        <v>80</v>
      </c>
      <c r="D409" s="481"/>
      <c r="E409" s="482" t="s">
        <v>151</v>
      </c>
      <c r="F409" s="482" t="s">
        <v>76</v>
      </c>
      <c r="G409" s="482">
        <v>0.01</v>
      </c>
      <c r="H409" s="174">
        <f>VLOOKUP(C409,'UPAH-BAHAN'!D:F,2,0)</f>
        <v>225000</v>
      </c>
      <c r="I409" s="284">
        <f>G409*H409</f>
        <v>2250</v>
      </c>
      <c r="J409" s="273"/>
    </row>
    <row r="410" spans="1:10" outlineLevel="1">
      <c r="B410" s="165"/>
      <c r="C410" s="480"/>
      <c r="D410" s="481"/>
      <c r="E410" s="484"/>
      <c r="F410" s="484"/>
      <c r="G410" s="708" t="s">
        <v>152</v>
      </c>
      <c r="H410" s="485"/>
      <c r="I410" s="284">
        <f>SUM(I406:I409)</f>
        <v>55650</v>
      </c>
      <c r="J410" s="273"/>
    </row>
    <row r="411" spans="1:10" outlineLevel="1">
      <c r="B411" s="165" t="s">
        <v>153</v>
      </c>
      <c r="C411" s="480" t="s">
        <v>154</v>
      </c>
      <c r="D411" s="481"/>
      <c r="E411" s="484"/>
      <c r="F411" s="484"/>
      <c r="G411" s="484"/>
      <c r="H411" s="486"/>
      <c r="I411" s="283"/>
      <c r="J411" s="273"/>
    </row>
    <row r="412" spans="1:10" outlineLevel="1">
      <c r="B412" s="165"/>
      <c r="C412" s="480" t="s">
        <v>430</v>
      </c>
      <c r="D412" s="481"/>
      <c r="E412" s="482"/>
      <c r="F412" s="482" t="s">
        <v>41</v>
      </c>
      <c r="G412" s="483">
        <v>1</v>
      </c>
      <c r="H412" s="174">
        <f>VLOOKUP(C412,'UPAH-BAHAN'!D:F,2,0)</f>
        <v>86250</v>
      </c>
      <c r="I412" s="283">
        <f>G412*H412</f>
        <v>86250</v>
      </c>
      <c r="J412" s="273"/>
    </row>
    <row r="413" spans="1:10" outlineLevel="1">
      <c r="B413" s="165"/>
      <c r="C413" s="168"/>
      <c r="D413" s="169"/>
      <c r="E413" s="170"/>
      <c r="F413" s="170"/>
      <c r="G413" s="340" t="s">
        <v>156</v>
      </c>
      <c r="H413" s="283"/>
      <c r="I413" s="283">
        <f>SUM(I412:I412)</f>
        <v>86250</v>
      </c>
      <c r="J413" s="273"/>
    </row>
    <row r="414" spans="1:10" outlineLevel="1">
      <c r="B414" s="165" t="s">
        <v>157</v>
      </c>
      <c r="C414" s="168" t="s">
        <v>158</v>
      </c>
      <c r="D414" s="169"/>
      <c r="E414" s="170"/>
      <c r="F414" s="170"/>
      <c r="G414" s="170"/>
      <c r="H414" s="283"/>
      <c r="I414" s="283"/>
      <c r="J414" s="273"/>
    </row>
    <row r="415" spans="1:10" outlineLevel="1">
      <c r="B415" s="165"/>
      <c r="C415" s="168"/>
      <c r="D415" s="169"/>
      <c r="E415" s="170"/>
      <c r="F415" s="170"/>
      <c r="G415" s="170"/>
      <c r="H415" s="283"/>
      <c r="I415" s="283"/>
      <c r="J415" s="273"/>
    </row>
    <row r="416" spans="1:10" outlineLevel="1">
      <c r="B416" s="165"/>
      <c r="C416" s="168"/>
      <c r="D416" s="169"/>
      <c r="E416" s="170"/>
      <c r="F416" s="170"/>
      <c r="G416" s="340" t="s">
        <v>159</v>
      </c>
      <c r="H416" s="283"/>
      <c r="I416" s="283">
        <f>SUM(I414:I415)</f>
        <v>0</v>
      </c>
      <c r="J416" s="273"/>
    </row>
    <row r="417" spans="1:10" outlineLevel="1">
      <c r="B417" s="165"/>
      <c r="C417" s="168"/>
      <c r="D417" s="169"/>
      <c r="E417" s="170"/>
      <c r="F417" s="170"/>
      <c r="G417" s="170"/>
      <c r="H417" s="283"/>
      <c r="I417" s="283"/>
      <c r="J417" s="273"/>
    </row>
    <row r="418" spans="1:10" outlineLevel="1">
      <c r="B418" s="165" t="s">
        <v>160</v>
      </c>
      <c r="C418" s="168" t="s">
        <v>161</v>
      </c>
      <c r="D418" s="169"/>
      <c r="E418" s="171"/>
      <c r="F418" s="171"/>
      <c r="G418" s="165"/>
      <c r="H418" s="283"/>
      <c r="I418" s="283">
        <f>I413+I416+I410</f>
        <v>141900</v>
      </c>
      <c r="J418" s="273"/>
    </row>
    <row r="419" spans="1:10" outlineLevel="1">
      <c r="B419" s="165" t="s">
        <v>162</v>
      </c>
      <c r="C419" s="168" t="s">
        <v>82</v>
      </c>
      <c r="D419" s="169"/>
      <c r="E419" s="194"/>
      <c r="F419" s="179"/>
      <c r="G419" s="180">
        <f>$J$3</f>
        <v>0.15</v>
      </c>
      <c r="H419" s="171"/>
      <c r="I419" s="175">
        <f>I418*G419</f>
        <v>21285</v>
      </c>
    </row>
    <row r="420" spans="1:10" outlineLevel="1">
      <c r="B420" s="165" t="s">
        <v>163</v>
      </c>
      <c r="C420" s="168" t="s">
        <v>164</v>
      </c>
      <c r="D420" s="169"/>
      <c r="E420" s="171"/>
      <c r="F420" s="171"/>
      <c r="G420" s="165"/>
      <c r="H420" s="283"/>
      <c r="I420" s="283">
        <f>I418+I419</f>
        <v>163185</v>
      </c>
      <c r="J420" s="273"/>
    </row>
    <row r="421" spans="1:10" outlineLevel="1">
      <c r="B421" s="184"/>
      <c r="D421" s="186"/>
      <c r="E421" s="186"/>
      <c r="F421" s="186"/>
      <c r="G421" s="184"/>
      <c r="H421" s="286"/>
      <c r="I421" s="286"/>
      <c r="J421" s="273"/>
    </row>
    <row r="422" spans="1:10">
      <c r="A422" s="159" t="str">
        <f>B422</f>
        <v>A.4.4.1.9</v>
      </c>
      <c r="B422" s="487" t="s">
        <v>206</v>
      </c>
      <c r="C422" s="347"/>
      <c r="D422" s="105" t="s">
        <v>847</v>
      </c>
      <c r="E422" s="159"/>
      <c r="F422" s="159"/>
      <c r="G422" s="163"/>
      <c r="H422" s="161"/>
      <c r="I422" s="160"/>
      <c r="J422" s="282">
        <f>I441</f>
        <v>143836.25</v>
      </c>
    </row>
    <row r="423" spans="1:10" ht="31.2" outlineLevel="1">
      <c r="A423" s="163"/>
      <c r="B423" s="164" t="s">
        <v>75</v>
      </c>
      <c r="C423" s="1254" t="s">
        <v>140</v>
      </c>
      <c r="D423" s="1255"/>
      <c r="E423" s="164" t="s">
        <v>141</v>
      </c>
      <c r="F423" s="164" t="s">
        <v>142</v>
      </c>
      <c r="G423" s="164" t="s">
        <v>143</v>
      </c>
      <c r="H423" s="165" t="s">
        <v>144</v>
      </c>
      <c r="I423" s="165" t="s">
        <v>145</v>
      </c>
      <c r="J423" s="166"/>
    </row>
    <row r="424" spans="1:10" outlineLevel="1">
      <c r="B424" s="165" t="s">
        <v>146</v>
      </c>
      <c r="C424" s="168" t="s">
        <v>147</v>
      </c>
      <c r="D424" s="169"/>
      <c r="E424" s="170"/>
      <c r="F424" s="170"/>
      <c r="G424" s="170"/>
      <c r="H424" s="283"/>
      <c r="I424" s="283"/>
      <c r="J424" s="273"/>
    </row>
    <row r="425" spans="1:10" outlineLevel="1">
      <c r="B425" s="165"/>
      <c r="C425" s="168" t="s">
        <v>77</v>
      </c>
      <c r="D425" s="169"/>
      <c r="E425" s="165" t="s">
        <v>148</v>
      </c>
      <c r="F425" s="165" t="s">
        <v>76</v>
      </c>
      <c r="G425" s="173">
        <v>0.3</v>
      </c>
      <c r="H425" s="174">
        <f>VLOOKUP(C425,'UPAH-BAHAN'!D:F,2,0)</f>
        <v>120000</v>
      </c>
      <c r="I425" s="284">
        <f>G425*H425</f>
        <v>36000</v>
      </c>
      <c r="J425" s="273"/>
    </row>
    <row r="426" spans="1:10" outlineLevel="1">
      <c r="B426" s="165"/>
      <c r="C426" s="168" t="s">
        <v>86</v>
      </c>
      <c r="D426" s="169"/>
      <c r="E426" s="165" t="s">
        <v>150</v>
      </c>
      <c r="F426" s="165" t="s">
        <v>76</v>
      </c>
      <c r="G426" s="173">
        <v>0.1</v>
      </c>
      <c r="H426" s="174">
        <f>VLOOKUP(C426,'UPAH-BAHAN'!D:F,2,0)</f>
        <v>160000</v>
      </c>
      <c r="I426" s="284">
        <f>G426*H426</f>
        <v>16000</v>
      </c>
      <c r="J426" s="273"/>
    </row>
    <row r="427" spans="1:10" outlineLevel="1">
      <c r="B427" s="165"/>
      <c r="C427" s="168" t="s">
        <v>79</v>
      </c>
      <c r="D427" s="169"/>
      <c r="E427" s="165" t="s">
        <v>150</v>
      </c>
      <c r="F427" s="165" t="s">
        <v>76</v>
      </c>
      <c r="G427" s="173">
        <v>0.01</v>
      </c>
      <c r="H427" s="174">
        <f>VLOOKUP(C427,'UPAH-BAHAN'!D:F,2,0)</f>
        <v>170000</v>
      </c>
      <c r="I427" s="284">
        <f>G427*H427</f>
        <v>1700</v>
      </c>
      <c r="J427" s="273"/>
    </row>
    <row r="428" spans="1:10" outlineLevel="1">
      <c r="B428" s="165"/>
      <c r="C428" s="168" t="s">
        <v>80</v>
      </c>
      <c r="D428" s="169"/>
      <c r="E428" s="165" t="s">
        <v>151</v>
      </c>
      <c r="F428" s="165" t="s">
        <v>76</v>
      </c>
      <c r="G428" s="165">
        <v>1.4999999999999999E-2</v>
      </c>
      <c r="H428" s="174">
        <f>VLOOKUP(C428,'UPAH-BAHAN'!D:F,2,0)</f>
        <v>225000</v>
      </c>
      <c r="I428" s="284">
        <f>G428*H428</f>
        <v>3375</v>
      </c>
      <c r="J428" s="273"/>
    </row>
    <row r="429" spans="1:10" outlineLevel="1">
      <c r="B429" s="165"/>
      <c r="C429" s="168"/>
      <c r="D429" s="169"/>
      <c r="E429" s="170"/>
      <c r="F429" s="170"/>
      <c r="G429" s="340" t="s">
        <v>152</v>
      </c>
      <c r="H429" s="285"/>
      <c r="I429" s="284">
        <f>SUM(I425:I428)</f>
        <v>57075</v>
      </c>
      <c r="J429" s="273"/>
    </row>
    <row r="430" spans="1:10" outlineLevel="1">
      <c r="B430" s="165" t="s">
        <v>153</v>
      </c>
      <c r="C430" s="168" t="s">
        <v>154</v>
      </c>
      <c r="D430" s="169"/>
      <c r="E430" s="170"/>
      <c r="F430" s="170"/>
      <c r="G430" s="170"/>
      <c r="H430" s="283"/>
      <c r="I430" s="283"/>
      <c r="J430" s="273"/>
    </row>
    <row r="431" spans="1:10" outlineLevel="1">
      <c r="B431" s="165"/>
      <c r="C431" s="168" t="s">
        <v>181</v>
      </c>
      <c r="D431" s="169"/>
      <c r="E431" s="165"/>
      <c r="F431" s="165" t="s">
        <v>25</v>
      </c>
      <c r="G431" s="173">
        <v>70</v>
      </c>
      <c r="H431" s="174">
        <f>VLOOKUP(C431,'UPAH-BAHAN'!D:F,2,0)</f>
        <v>600</v>
      </c>
      <c r="I431" s="283">
        <f>G431*H431</f>
        <v>42000</v>
      </c>
      <c r="J431" s="273"/>
    </row>
    <row r="432" spans="1:10" outlineLevel="1">
      <c r="B432" s="165"/>
      <c r="C432" s="168" t="s">
        <v>87</v>
      </c>
      <c r="D432" s="169"/>
      <c r="E432" s="165"/>
      <c r="F432" s="165" t="s">
        <v>69</v>
      </c>
      <c r="G432" s="173">
        <v>11.5</v>
      </c>
      <c r="H432" s="174">
        <f>VLOOKUP(C432,'UPAH-BAHAN'!D:F,2,0)</f>
        <v>1700</v>
      </c>
      <c r="I432" s="283">
        <f>G432*H432</f>
        <v>19550</v>
      </c>
      <c r="J432" s="273"/>
    </row>
    <row r="433" spans="1:10" outlineLevel="1">
      <c r="B433" s="165"/>
      <c r="C433" s="168" t="s">
        <v>88</v>
      </c>
      <c r="D433" s="169"/>
      <c r="E433" s="165"/>
      <c r="F433" s="165" t="s">
        <v>25</v>
      </c>
      <c r="G433" s="173">
        <v>4.2999999999999997E-2</v>
      </c>
      <c r="H433" s="174">
        <f>VLOOKUP(C433,'UPAH-BAHAN'!D:F,2,0)</f>
        <v>150000</v>
      </c>
      <c r="I433" s="283">
        <f>G433*H433</f>
        <v>6449.9999999999991</v>
      </c>
      <c r="J433" s="273"/>
    </row>
    <row r="434" spans="1:10" outlineLevel="1">
      <c r="B434" s="165"/>
      <c r="C434" s="168"/>
      <c r="D434" s="169"/>
      <c r="E434" s="170"/>
      <c r="F434" s="170"/>
      <c r="G434" s="340" t="s">
        <v>156</v>
      </c>
      <c r="H434" s="283"/>
      <c r="I434" s="283">
        <f>SUM(I431:I433)</f>
        <v>68000</v>
      </c>
      <c r="J434" s="273"/>
    </row>
    <row r="435" spans="1:10" outlineLevel="1">
      <c r="B435" s="165" t="s">
        <v>157</v>
      </c>
      <c r="C435" s="168" t="s">
        <v>158</v>
      </c>
      <c r="D435" s="169"/>
      <c r="E435" s="170"/>
      <c r="F435" s="170"/>
      <c r="G435" s="170"/>
      <c r="H435" s="283"/>
      <c r="I435" s="283"/>
      <c r="J435" s="273"/>
    </row>
    <row r="436" spans="1:10" outlineLevel="1">
      <c r="B436" s="165"/>
      <c r="C436" s="168"/>
      <c r="D436" s="169"/>
      <c r="E436" s="170"/>
      <c r="F436" s="170"/>
      <c r="G436" s="170"/>
      <c r="H436" s="283"/>
      <c r="I436" s="283"/>
      <c r="J436" s="273"/>
    </row>
    <row r="437" spans="1:10" outlineLevel="1">
      <c r="B437" s="165"/>
      <c r="C437" s="168"/>
      <c r="D437" s="169"/>
      <c r="E437" s="170"/>
      <c r="F437" s="170"/>
      <c r="G437" s="340" t="s">
        <v>159</v>
      </c>
      <c r="H437" s="283"/>
      <c r="I437" s="283">
        <f>SUM(I435:I436)</f>
        <v>0</v>
      </c>
      <c r="J437" s="273"/>
    </row>
    <row r="438" spans="1:10" outlineLevel="1">
      <c r="B438" s="165"/>
      <c r="C438" s="168"/>
      <c r="D438" s="169"/>
      <c r="E438" s="170"/>
      <c r="F438" s="170"/>
      <c r="G438" s="170"/>
      <c r="H438" s="283"/>
      <c r="I438" s="283"/>
      <c r="J438" s="273"/>
    </row>
    <row r="439" spans="1:10" outlineLevel="1">
      <c r="B439" s="165" t="s">
        <v>160</v>
      </c>
      <c r="C439" s="168" t="s">
        <v>161</v>
      </c>
      <c r="D439" s="169"/>
      <c r="E439" s="171"/>
      <c r="F439" s="171"/>
      <c r="G439" s="165"/>
      <c r="H439" s="283"/>
      <c r="I439" s="283">
        <f>I434+I437+I429</f>
        <v>125075</v>
      </c>
      <c r="J439" s="273"/>
    </row>
    <row r="440" spans="1:10" outlineLevel="1">
      <c r="B440" s="165" t="s">
        <v>162</v>
      </c>
      <c r="C440" s="168" t="s">
        <v>82</v>
      </c>
      <c r="D440" s="169"/>
      <c r="E440" s="194"/>
      <c r="F440" s="179"/>
      <c r="G440" s="180">
        <f>$J$3</f>
        <v>0.15</v>
      </c>
      <c r="H440" s="171"/>
      <c r="I440" s="175">
        <f>I439*G440</f>
        <v>18761.25</v>
      </c>
    </row>
    <row r="441" spans="1:10" outlineLevel="1">
      <c r="B441" s="165" t="s">
        <v>163</v>
      </c>
      <c r="C441" s="168" t="s">
        <v>164</v>
      </c>
      <c r="D441" s="169"/>
      <c r="E441" s="171"/>
      <c r="F441" s="171"/>
      <c r="G441" s="165"/>
      <c r="H441" s="283"/>
      <c r="I441" s="283">
        <f>I439+I440</f>
        <v>143836.25</v>
      </c>
      <c r="J441" s="273"/>
    </row>
    <row r="442" spans="1:10" outlineLevel="1">
      <c r="B442" s="184"/>
      <c r="D442" s="186"/>
      <c r="E442" s="186"/>
      <c r="F442" s="186"/>
      <c r="G442" s="184"/>
      <c r="H442" s="286"/>
      <c r="I442" s="286"/>
      <c r="J442" s="273"/>
    </row>
    <row r="443" spans="1:10">
      <c r="A443" s="159" t="str">
        <f>B443</f>
        <v>A.4.4.2.4.</v>
      </c>
      <c r="B443" s="287" t="s">
        <v>112</v>
      </c>
      <c r="C443" s="160"/>
      <c r="D443" s="159" t="s">
        <v>182</v>
      </c>
      <c r="E443" s="160"/>
      <c r="F443" s="160"/>
      <c r="H443" s="161"/>
      <c r="I443" s="160"/>
      <c r="J443" s="162">
        <f>I461</f>
        <v>92152.95</v>
      </c>
    </row>
    <row r="444" spans="1:10" ht="31.2" outlineLevel="1">
      <c r="A444" s="163"/>
      <c r="B444" s="164" t="s">
        <v>75</v>
      </c>
      <c r="C444" s="1254" t="s">
        <v>140</v>
      </c>
      <c r="D444" s="1255"/>
      <c r="E444" s="164" t="s">
        <v>141</v>
      </c>
      <c r="F444" s="164" t="s">
        <v>142</v>
      </c>
      <c r="G444" s="164" t="s">
        <v>143</v>
      </c>
      <c r="H444" s="165" t="s">
        <v>144</v>
      </c>
      <c r="I444" s="165" t="s">
        <v>145</v>
      </c>
      <c r="J444" s="166"/>
    </row>
    <row r="445" spans="1:10" outlineLevel="1">
      <c r="B445" s="165" t="s">
        <v>146</v>
      </c>
      <c r="C445" s="168" t="s">
        <v>147</v>
      </c>
      <c r="D445" s="169"/>
      <c r="E445" s="170"/>
      <c r="F445" s="170"/>
      <c r="G445" s="170"/>
      <c r="H445" s="288"/>
      <c r="I445" s="288"/>
    </row>
    <row r="446" spans="1:10" outlineLevel="1">
      <c r="B446" s="165"/>
      <c r="C446" s="168" t="s">
        <v>77</v>
      </c>
      <c r="D446" s="169"/>
      <c r="E446" s="165" t="s">
        <v>148</v>
      </c>
      <c r="F446" s="165" t="s">
        <v>76</v>
      </c>
      <c r="G446" s="173">
        <v>0.3</v>
      </c>
      <c r="H446" s="174">
        <f>VLOOKUP(C446,'UPAH-BAHAN'!D:F,2,0)</f>
        <v>120000</v>
      </c>
      <c r="I446" s="288">
        <f>G446*H446</f>
        <v>36000</v>
      </c>
    </row>
    <row r="447" spans="1:10" outlineLevel="1">
      <c r="B447" s="165"/>
      <c r="C447" s="168" t="s">
        <v>86</v>
      </c>
      <c r="D447" s="169"/>
      <c r="E447" s="165" t="s">
        <v>150</v>
      </c>
      <c r="F447" s="165" t="s">
        <v>76</v>
      </c>
      <c r="G447" s="173">
        <v>0.15</v>
      </c>
      <c r="H447" s="174">
        <f>VLOOKUP(C447,'UPAH-BAHAN'!D:F,2,0)</f>
        <v>160000</v>
      </c>
      <c r="I447" s="289">
        <f>G447*H447</f>
        <v>24000</v>
      </c>
    </row>
    <row r="448" spans="1:10" outlineLevel="1">
      <c r="B448" s="165"/>
      <c r="C448" s="168" t="s">
        <v>79</v>
      </c>
      <c r="D448" s="169"/>
      <c r="E448" s="165" t="s">
        <v>150</v>
      </c>
      <c r="F448" s="165" t="s">
        <v>76</v>
      </c>
      <c r="G448" s="173">
        <v>1.4999999999999999E-2</v>
      </c>
      <c r="H448" s="174">
        <f>VLOOKUP(C448,'UPAH-BAHAN'!D:F,2,0)</f>
        <v>170000</v>
      </c>
      <c r="I448" s="289">
        <f>G448*H448</f>
        <v>2550</v>
      </c>
    </row>
    <row r="449" spans="1:10" outlineLevel="1">
      <c r="B449" s="165"/>
      <c r="C449" s="168" t="s">
        <v>80</v>
      </c>
      <c r="D449" s="169"/>
      <c r="E449" s="165" t="s">
        <v>151</v>
      </c>
      <c r="F449" s="165" t="s">
        <v>76</v>
      </c>
      <c r="G449" s="165">
        <v>1.4999999999999999E-2</v>
      </c>
      <c r="H449" s="174">
        <f>VLOOKUP(C449,'UPAH-BAHAN'!D:F,2,0)</f>
        <v>225000</v>
      </c>
      <c r="I449" s="290">
        <f>G449*H449</f>
        <v>3375</v>
      </c>
    </row>
    <row r="450" spans="1:10" outlineLevel="1">
      <c r="B450" s="165"/>
      <c r="C450" s="168"/>
      <c r="D450" s="169"/>
      <c r="E450" s="170"/>
      <c r="F450" s="170"/>
      <c r="G450" s="340" t="s">
        <v>152</v>
      </c>
      <c r="H450" s="288"/>
      <c r="I450" s="288">
        <f>SUM(I446:I449)</f>
        <v>65925</v>
      </c>
    </row>
    <row r="451" spans="1:10" outlineLevel="1">
      <c r="B451" s="165" t="s">
        <v>153</v>
      </c>
      <c r="C451" s="168" t="s">
        <v>154</v>
      </c>
      <c r="D451" s="169"/>
      <c r="E451" s="170"/>
      <c r="F451" s="170"/>
      <c r="G451" s="170"/>
      <c r="H451" s="291"/>
      <c r="I451" s="292"/>
    </row>
    <row r="452" spans="1:10" outlineLevel="1">
      <c r="B452" s="165"/>
      <c r="C452" s="168" t="s">
        <v>87</v>
      </c>
      <c r="D452" s="169"/>
      <c r="E452" s="165"/>
      <c r="F452" s="165" t="s">
        <v>69</v>
      </c>
      <c r="G452" s="293">
        <v>6.24</v>
      </c>
      <c r="H452" s="174">
        <f>VLOOKUP(C452,'UPAH-BAHAN'!D:F,2,0)</f>
        <v>1700</v>
      </c>
      <c r="I452" s="292">
        <f>G452*H452</f>
        <v>10608</v>
      </c>
    </row>
    <row r="453" spans="1:10" ht="18" outlineLevel="1">
      <c r="B453" s="165"/>
      <c r="C453" s="168" t="s">
        <v>111</v>
      </c>
      <c r="D453" s="169"/>
      <c r="E453" s="165"/>
      <c r="F453" s="165" t="s">
        <v>337</v>
      </c>
      <c r="G453" s="293">
        <v>2.4E-2</v>
      </c>
      <c r="H453" s="174">
        <f>VLOOKUP(C453,'UPAH-BAHAN'!D:F,2,0)</f>
        <v>150000</v>
      </c>
      <c r="I453" s="292">
        <f>G453*H453</f>
        <v>3600</v>
      </c>
    </row>
    <row r="454" spans="1:10" outlineLevel="1">
      <c r="B454" s="165"/>
      <c r="C454" s="168"/>
      <c r="D454" s="169"/>
      <c r="E454" s="170"/>
      <c r="F454" s="170"/>
      <c r="G454" s="340" t="s">
        <v>156</v>
      </c>
      <c r="H454" s="291"/>
      <c r="I454" s="292">
        <f>SUM(I452:I453)</f>
        <v>14208</v>
      </c>
    </row>
    <row r="455" spans="1:10" outlineLevel="1">
      <c r="B455" s="165" t="s">
        <v>157</v>
      </c>
      <c r="C455" s="168" t="s">
        <v>158</v>
      </c>
      <c r="D455" s="169"/>
      <c r="E455" s="170"/>
      <c r="F455" s="170"/>
      <c r="G455" s="170"/>
      <c r="H455" s="294"/>
      <c r="I455" s="288"/>
    </row>
    <row r="456" spans="1:10" outlineLevel="1">
      <c r="B456" s="165"/>
      <c r="C456" s="168"/>
      <c r="D456" s="169"/>
      <c r="E456" s="170"/>
      <c r="F456" s="170"/>
      <c r="G456" s="170"/>
      <c r="H456" s="288"/>
      <c r="I456" s="288"/>
    </row>
    <row r="457" spans="1:10" outlineLevel="1">
      <c r="B457" s="165"/>
      <c r="C457" s="168"/>
      <c r="D457" s="169"/>
      <c r="E457" s="170"/>
      <c r="F457" s="170"/>
      <c r="G457" s="340" t="s">
        <v>159</v>
      </c>
      <c r="H457" s="291"/>
      <c r="I457" s="288">
        <f>SUM(I455:I456)</f>
        <v>0</v>
      </c>
    </row>
    <row r="458" spans="1:10" outlineLevel="1">
      <c r="B458" s="165"/>
      <c r="C458" s="168"/>
      <c r="D458" s="169"/>
      <c r="E458" s="170"/>
      <c r="F458" s="170"/>
      <c r="G458" s="170"/>
      <c r="H458" s="291"/>
      <c r="I458" s="288"/>
    </row>
    <row r="459" spans="1:10" outlineLevel="1">
      <c r="B459" s="165" t="s">
        <v>160</v>
      </c>
      <c r="C459" s="168" t="s">
        <v>161</v>
      </c>
      <c r="D459" s="169"/>
      <c r="E459" s="171"/>
      <c r="F459" s="171"/>
      <c r="G459" s="165"/>
      <c r="H459" s="288"/>
      <c r="I459" s="288">
        <f>I454+I457+I450</f>
        <v>80133</v>
      </c>
    </row>
    <row r="460" spans="1:10" outlineLevel="1">
      <c r="B460" s="165" t="s">
        <v>162</v>
      </c>
      <c r="C460" s="168" t="s">
        <v>82</v>
      </c>
      <c r="D460" s="169"/>
      <c r="E460" s="194"/>
      <c r="F460" s="179"/>
      <c r="G460" s="180">
        <f>$J$3</f>
        <v>0.15</v>
      </c>
      <c r="H460" s="171"/>
      <c r="I460" s="175">
        <f>I459*G460</f>
        <v>12019.949999999999</v>
      </c>
    </row>
    <row r="461" spans="1:10" outlineLevel="1">
      <c r="B461" s="165" t="s">
        <v>163</v>
      </c>
      <c r="C461" s="168" t="s">
        <v>164</v>
      </c>
      <c r="D461" s="169"/>
      <c r="E461" s="171"/>
      <c r="F461" s="171"/>
      <c r="G461" s="165"/>
      <c r="H461" s="288"/>
      <c r="I461" s="288">
        <f>I459+I460</f>
        <v>92152.95</v>
      </c>
    </row>
    <row r="462" spans="1:10" outlineLevel="1">
      <c r="B462" s="184"/>
      <c r="D462" s="186"/>
      <c r="E462" s="186"/>
      <c r="F462" s="186"/>
      <c r="G462" s="184"/>
      <c r="H462" s="204"/>
      <c r="I462" s="204"/>
    </row>
    <row r="463" spans="1:10">
      <c r="A463" s="167" t="str">
        <f>B463</f>
        <v>A.4.4.2.27.</v>
      </c>
      <c r="B463" s="287" t="s">
        <v>113</v>
      </c>
      <c r="D463" s="167" t="s">
        <v>114</v>
      </c>
      <c r="J463" s="172">
        <f>I479</f>
        <v>56896.25</v>
      </c>
    </row>
    <row r="464" spans="1:10" ht="31.2" outlineLevel="1">
      <c r="A464" s="163"/>
      <c r="B464" s="164" t="s">
        <v>75</v>
      </c>
      <c r="C464" s="1254" t="s">
        <v>140</v>
      </c>
      <c r="D464" s="1255"/>
      <c r="E464" s="164" t="s">
        <v>141</v>
      </c>
      <c r="F464" s="164" t="s">
        <v>142</v>
      </c>
      <c r="G464" s="164" t="s">
        <v>143</v>
      </c>
      <c r="H464" s="165" t="s">
        <v>144</v>
      </c>
      <c r="I464" s="165" t="s">
        <v>145</v>
      </c>
      <c r="J464" s="166"/>
    </row>
    <row r="465" spans="2:9" outlineLevel="1">
      <c r="B465" s="165" t="s">
        <v>146</v>
      </c>
      <c r="C465" s="168" t="s">
        <v>183</v>
      </c>
      <c r="D465" s="169"/>
      <c r="E465" s="295"/>
      <c r="F465" s="295"/>
      <c r="G465" s="295"/>
      <c r="H465" s="296"/>
      <c r="I465" s="296"/>
    </row>
    <row r="466" spans="2:9" outlineLevel="1">
      <c r="B466" s="165">
        <v>1</v>
      </c>
      <c r="C466" s="168" t="s">
        <v>77</v>
      </c>
      <c r="D466" s="169"/>
      <c r="E466" s="297" t="s">
        <v>148</v>
      </c>
      <c r="F466" s="297" t="s">
        <v>76</v>
      </c>
      <c r="G466" s="298">
        <v>0.2</v>
      </c>
      <c r="H466" s="174">
        <f>VLOOKUP(C466,'UPAH-BAHAN'!D:F,2,0)</f>
        <v>120000</v>
      </c>
      <c r="I466" s="296">
        <f>G466*H466</f>
        <v>24000</v>
      </c>
    </row>
    <row r="467" spans="2:9" outlineLevel="1">
      <c r="B467" s="165">
        <v>2</v>
      </c>
      <c r="C467" s="168" t="s">
        <v>96</v>
      </c>
      <c r="D467" s="169"/>
      <c r="E467" s="297" t="s">
        <v>149</v>
      </c>
      <c r="F467" s="297" t="s">
        <v>76</v>
      </c>
      <c r="G467" s="298">
        <v>0.1</v>
      </c>
      <c r="H467" s="174">
        <f>VLOOKUP(C467,'UPAH-BAHAN'!D:F,2,0)</f>
        <v>160000</v>
      </c>
      <c r="I467" s="296">
        <f>G467*H467</f>
        <v>16000</v>
      </c>
    </row>
    <row r="468" spans="2:9" outlineLevel="1">
      <c r="B468" s="165">
        <v>3</v>
      </c>
      <c r="C468" s="168" t="s">
        <v>79</v>
      </c>
      <c r="D468" s="169"/>
      <c r="E468" s="297" t="s">
        <v>150</v>
      </c>
      <c r="F468" s="297" t="s">
        <v>76</v>
      </c>
      <c r="G468" s="298">
        <v>0.01</v>
      </c>
      <c r="H468" s="174">
        <f>VLOOKUP(C468,'UPAH-BAHAN'!D:F,2,0)</f>
        <v>170000</v>
      </c>
      <c r="I468" s="296">
        <f>G468*H468</f>
        <v>1700</v>
      </c>
    </row>
    <row r="469" spans="2:9" outlineLevel="1">
      <c r="B469" s="165">
        <v>4</v>
      </c>
      <c r="C469" s="168" t="s">
        <v>80</v>
      </c>
      <c r="D469" s="169"/>
      <c r="E469" s="297" t="s">
        <v>151</v>
      </c>
      <c r="F469" s="297" t="s">
        <v>76</v>
      </c>
      <c r="G469" s="298">
        <v>0.01</v>
      </c>
      <c r="H469" s="174">
        <f>VLOOKUP(C469,'UPAH-BAHAN'!D:F,2,0)</f>
        <v>225000</v>
      </c>
      <c r="I469" s="296">
        <f>G469*H469</f>
        <v>2250</v>
      </c>
    </row>
    <row r="470" spans="2:9" outlineLevel="1">
      <c r="B470" s="165"/>
      <c r="C470" s="168"/>
      <c r="D470" s="169"/>
      <c r="E470" s="295"/>
      <c r="F470" s="295"/>
      <c r="G470" s="297" t="s">
        <v>152</v>
      </c>
      <c r="H470" s="296"/>
      <c r="I470" s="296">
        <f>SUM(I466:I469)</f>
        <v>43950</v>
      </c>
    </row>
    <row r="471" spans="2:9" outlineLevel="1">
      <c r="B471" s="165" t="s">
        <v>153</v>
      </c>
      <c r="C471" s="168" t="s">
        <v>154</v>
      </c>
      <c r="D471" s="169"/>
      <c r="E471" s="295"/>
      <c r="F471" s="295"/>
      <c r="G471" s="295"/>
      <c r="H471" s="296"/>
      <c r="I471" s="296"/>
    </row>
    <row r="472" spans="2:9" outlineLevel="1">
      <c r="B472" s="165"/>
      <c r="C472" s="168" t="s">
        <v>87</v>
      </c>
      <c r="D472" s="169"/>
      <c r="E472" s="295"/>
      <c r="F472" s="297" t="s">
        <v>69</v>
      </c>
      <c r="G472" s="298">
        <v>3.25</v>
      </c>
      <c r="H472" s="174">
        <f>VLOOKUP(C472,'UPAH-BAHAN'!D:F,2,0)</f>
        <v>1700</v>
      </c>
      <c r="I472" s="296">
        <f>G472*H472</f>
        <v>5525</v>
      </c>
    </row>
    <row r="473" spans="2:9" outlineLevel="1">
      <c r="B473" s="165"/>
      <c r="C473" s="168"/>
      <c r="D473" s="169"/>
      <c r="E473" s="295"/>
      <c r="F473" s="295"/>
      <c r="G473" s="297" t="s">
        <v>156</v>
      </c>
      <c r="H473" s="296"/>
      <c r="I473" s="296">
        <f>SUM(I472)</f>
        <v>5525</v>
      </c>
    </row>
    <row r="474" spans="2:9" outlineLevel="1">
      <c r="B474" s="165" t="s">
        <v>157</v>
      </c>
      <c r="C474" s="168" t="s">
        <v>158</v>
      </c>
      <c r="D474" s="169"/>
      <c r="E474" s="295"/>
      <c r="F474" s="295"/>
      <c r="G474" s="295"/>
      <c r="H474" s="296"/>
      <c r="I474" s="296"/>
    </row>
    <row r="475" spans="2:9" outlineLevel="1">
      <c r="B475" s="165"/>
      <c r="C475" s="168"/>
      <c r="D475" s="169"/>
      <c r="E475" s="295"/>
      <c r="F475" s="295"/>
      <c r="G475" s="295"/>
      <c r="H475" s="296"/>
      <c r="I475" s="296"/>
    </row>
    <row r="476" spans="2:9" outlineLevel="1">
      <c r="B476" s="165"/>
      <c r="C476" s="168"/>
      <c r="D476" s="169"/>
      <c r="E476" s="295"/>
      <c r="F476" s="295"/>
      <c r="G476" s="297" t="s">
        <v>159</v>
      </c>
      <c r="H476" s="296"/>
      <c r="I476" s="296">
        <f>SUM(I474:I475)</f>
        <v>0</v>
      </c>
    </row>
    <row r="477" spans="2:9" outlineLevel="1">
      <c r="B477" s="165" t="s">
        <v>160</v>
      </c>
      <c r="C477" s="168" t="s">
        <v>184</v>
      </c>
      <c r="D477" s="169"/>
      <c r="E477" s="295"/>
      <c r="F477" s="295"/>
      <c r="G477" s="295"/>
      <c r="H477" s="296"/>
      <c r="I477" s="296">
        <f>I476+I473+I470</f>
        <v>49475</v>
      </c>
    </row>
    <row r="478" spans="2:9" outlineLevel="1">
      <c r="B478" s="165" t="s">
        <v>162</v>
      </c>
      <c r="C478" s="168" t="s">
        <v>82</v>
      </c>
      <c r="D478" s="169"/>
      <c r="E478" s="194"/>
      <c r="F478" s="179"/>
      <c r="G478" s="180">
        <f>$J$3</f>
        <v>0.15</v>
      </c>
      <c r="H478" s="171"/>
      <c r="I478" s="175">
        <f>I477*G478</f>
        <v>7421.25</v>
      </c>
    </row>
    <row r="479" spans="2:9" outlineLevel="1">
      <c r="B479" s="165" t="s">
        <v>163</v>
      </c>
      <c r="C479" s="168" t="s">
        <v>164</v>
      </c>
      <c r="D479" s="169"/>
      <c r="E479" s="171"/>
      <c r="F479" s="171"/>
      <c r="G479" s="165"/>
      <c r="H479" s="288"/>
      <c r="I479" s="288">
        <f>I477+I478</f>
        <v>56896.25</v>
      </c>
    </row>
    <row r="480" spans="2:9" outlineLevel="1">
      <c r="B480" s="184"/>
      <c r="D480" s="186"/>
      <c r="E480" s="186"/>
      <c r="F480" s="186"/>
      <c r="G480" s="184"/>
      <c r="H480" s="204"/>
      <c r="I480" s="204"/>
    </row>
    <row r="481" spans="1:12">
      <c r="B481" s="184"/>
      <c r="D481" s="186"/>
      <c r="E481" s="186"/>
      <c r="F481" s="186"/>
      <c r="G481" s="184"/>
      <c r="H481" s="204"/>
      <c r="I481" s="204"/>
    </row>
    <row r="482" spans="1:12" ht="20.399999999999999">
      <c r="A482" s="155"/>
      <c r="B482" s="571" t="s">
        <v>222</v>
      </c>
      <c r="C482" s="156"/>
      <c r="D482" s="156"/>
      <c r="E482" s="156"/>
      <c r="F482" s="156"/>
      <c r="G482" s="712"/>
      <c r="H482" s="157"/>
      <c r="I482" s="156"/>
      <c r="J482" s="158"/>
    </row>
    <row r="483" spans="1:12" s="185" customFormat="1" ht="15" customHeight="1">
      <c r="A483" s="167" t="str">
        <f>B483</f>
        <v>A.4.6.1.1.</v>
      </c>
      <c r="B483" s="159" t="s">
        <v>216</v>
      </c>
      <c r="D483" s="167" t="s">
        <v>217</v>
      </c>
      <c r="E483" s="270"/>
      <c r="F483" s="270"/>
      <c r="G483" s="299"/>
      <c r="J483" s="172">
        <f>I502</f>
        <v>16773612.5</v>
      </c>
      <c r="L483" s="758"/>
    </row>
    <row r="484" spans="1:12" s="185" customFormat="1" ht="31.2" outlineLevel="1">
      <c r="A484" s="167"/>
      <c r="B484" s="205" t="s">
        <v>75</v>
      </c>
      <c r="C484" s="340" t="s">
        <v>140</v>
      </c>
      <c r="D484" s="341"/>
      <c r="E484" s="164" t="s">
        <v>141</v>
      </c>
      <c r="F484" s="164" t="s">
        <v>142</v>
      </c>
      <c r="G484" s="300" t="s">
        <v>143</v>
      </c>
      <c r="H484" s="165" t="s">
        <v>144</v>
      </c>
      <c r="I484" s="165" t="s">
        <v>145</v>
      </c>
      <c r="J484" s="301"/>
      <c r="L484" s="758"/>
    </row>
    <row r="485" spans="1:12" s="185" customFormat="1" ht="15" customHeight="1" outlineLevel="1">
      <c r="A485" s="167"/>
      <c r="B485" s="165" t="s">
        <v>146</v>
      </c>
      <c r="C485" s="168" t="s">
        <v>147</v>
      </c>
      <c r="D485" s="169"/>
      <c r="E485" s="170"/>
      <c r="F485" s="170"/>
      <c r="G485" s="302"/>
      <c r="H485" s="171"/>
      <c r="I485" s="171"/>
      <c r="J485" s="301"/>
      <c r="L485" s="758"/>
    </row>
    <row r="486" spans="1:12" s="185" customFormat="1" ht="15" customHeight="1" outlineLevel="1">
      <c r="A486" s="167"/>
      <c r="B486" s="165"/>
      <c r="C486" s="168" t="s">
        <v>77</v>
      </c>
      <c r="D486" s="169"/>
      <c r="E486" s="165" t="s">
        <v>148</v>
      </c>
      <c r="F486" s="165" t="s">
        <v>76</v>
      </c>
      <c r="G486" s="293">
        <v>7</v>
      </c>
      <c r="H486" s="174">
        <f>VLOOKUP(C486,'UPAH-BAHAN'!D:F,2,0)</f>
        <v>120000</v>
      </c>
      <c r="I486" s="175">
        <f>G486*H486</f>
        <v>840000</v>
      </c>
      <c r="J486" s="301"/>
      <c r="L486" s="758"/>
    </row>
    <row r="487" spans="1:12" s="185" customFormat="1" ht="15" customHeight="1" outlineLevel="1">
      <c r="A487" s="167"/>
      <c r="B487" s="165"/>
      <c r="C487" s="168" t="s">
        <v>97</v>
      </c>
      <c r="D487" s="169"/>
      <c r="E487" s="165" t="s">
        <v>149</v>
      </c>
      <c r="F487" s="165" t="s">
        <v>76</v>
      </c>
      <c r="G487" s="293">
        <v>21</v>
      </c>
      <c r="H487" s="174">
        <f>VLOOKUP(C487,'UPAH-BAHAN'!D:F,2,0)</f>
        <v>160000</v>
      </c>
      <c r="I487" s="175">
        <f>G487*H487</f>
        <v>3360000</v>
      </c>
      <c r="J487" s="301"/>
      <c r="L487" s="758"/>
    </row>
    <row r="488" spans="1:12" s="185" customFormat="1" ht="15" customHeight="1" outlineLevel="1">
      <c r="A488" s="167"/>
      <c r="B488" s="165"/>
      <c r="C488" s="168" t="s">
        <v>99</v>
      </c>
      <c r="D488" s="169"/>
      <c r="E488" s="165" t="s">
        <v>150</v>
      </c>
      <c r="F488" s="165" t="s">
        <v>76</v>
      </c>
      <c r="G488" s="303">
        <v>2.1</v>
      </c>
      <c r="H488" s="174">
        <f>VLOOKUP(C488,'UPAH-BAHAN'!D:F,2,0)</f>
        <v>170000</v>
      </c>
      <c r="I488" s="175">
        <f>G488*H488</f>
        <v>357000</v>
      </c>
      <c r="J488" s="301"/>
      <c r="L488" s="758"/>
    </row>
    <row r="489" spans="1:12" s="185" customFormat="1" ht="15" customHeight="1" outlineLevel="1">
      <c r="A489" s="167"/>
      <c r="B489" s="165"/>
      <c r="C489" s="168" t="s">
        <v>80</v>
      </c>
      <c r="D489" s="169"/>
      <c r="E489" s="165" t="s">
        <v>151</v>
      </c>
      <c r="F489" s="165" t="s">
        <v>76</v>
      </c>
      <c r="G489" s="293">
        <v>0.35</v>
      </c>
      <c r="H489" s="174">
        <f>VLOOKUP(C489,'UPAH-BAHAN'!D:F,2,0)</f>
        <v>225000</v>
      </c>
      <c r="I489" s="175">
        <f>G489*H489</f>
        <v>78750</v>
      </c>
      <c r="J489" s="301"/>
      <c r="L489" s="758"/>
    </row>
    <row r="490" spans="1:12" s="185" customFormat="1" ht="15" customHeight="1" outlineLevel="1">
      <c r="A490" s="167"/>
      <c r="B490" s="165"/>
      <c r="C490" s="168"/>
      <c r="D490" s="169"/>
      <c r="E490" s="170"/>
      <c r="F490" s="170"/>
      <c r="G490" s="303" t="s">
        <v>171</v>
      </c>
      <c r="H490" s="177"/>
      <c r="I490" s="175">
        <f>SUM(I486:I489)</f>
        <v>4635750</v>
      </c>
      <c r="J490" s="301"/>
      <c r="L490" s="758"/>
    </row>
    <row r="491" spans="1:12" s="185" customFormat="1" ht="15" customHeight="1" outlineLevel="1">
      <c r="A491" s="167"/>
      <c r="B491" s="165" t="s">
        <v>153</v>
      </c>
      <c r="C491" s="168" t="s">
        <v>154</v>
      </c>
      <c r="D491" s="169"/>
      <c r="E491" s="170"/>
      <c r="F491" s="170"/>
      <c r="G491" s="303"/>
      <c r="H491" s="175"/>
      <c r="I491" s="175"/>
      <c r="J491" s="301"/>
      <c r="L491" s="758"/>
    </row>
    <row r="492" spans="1:12" s="185" customFormat="1" ht="15" customHeight="1" outlineLevel="1">
      <c r="A492" s="167"/>
      <c r="B492" s="165"/>
      <c r="C492" s="168" t="s">
        <v>229</v>
      </c>
      <c r="D492" s="169"/>
      <c r="E492" s="170"/>
      <c r="F492" s="165" t="s">
        <v>25</v>
      </c>
      <c r="G492" s="293">
        <v>1.1000000000000001</v>
      </c>
      <c r="H492" s="174">
        <f>VLOOKUP(C492,'UPAH-BAHAN'!D:F,2,0)</f>
        <v>9000000</v>
      </c>
      <c r="I492" s="175">
        <f>G492*H492</f>
        <v>9900000</v>
      </c>
      <c r="J492" s="301"/>
      <c r="L492" s="758"/>
    </row>
    <row r="493" spans="1:12" s="185" customFormat="1" ht="15" customHeight="1" outlineLevel="1">
      <c r="A493" s="167"/>
      <c r="B493" s="165"/>
      <c r="C493" s="168" t="s">
        <v>218</v>
      </c>
      <c r="D493" s="169"/>
      <c r="E493" s="170"/>
      <c r="F493" s="165" t="s">
        <v>69</v>
      </c>
      <c r="G493" s="293">
        <v>1.25</v>
      </c>
      <c r="H493" s="174">
        <f>VLOOKUP(C493,'UPAH-BAHAN'!D:F,2,0)</f>
        <v>20000</v>
      </c>
      <c r="I493" s="175">
        <f>G493*H493</f>
        <v>25000</v>
      </c>
      <c r="J493" s="301"/>
      <c r="L493" s="758"/>
    </row>
    <row r="494" spans="1:12" s="185" customFormat="1" ht="15" customHeight="1" outlineLevel="1">
      <c r="A494" s="167"/>
      <c r="B494" s="165"/>
      <c r="C494" s="168" t="s">
        <v>219</v>
      </c>
      <c r="D494" s="169"/>
      <c r="E494" s="170"/>
      <c r="F494" s="165" t="s">
        <v>69</v>
      </c>
      <c r="G494" s="293">
        <v>1</v>
      </c>
      <c r="H494" s="174">
        <f>VLOOKUP(C494,'UPAH-BAHAN'!D:F,2,0)</f>
        <v>25000</v>
      </c>
      <c r="I494" s="175">
        <f>G494*H494</f>
        <v>25000</v>
      </c>
      <c r="J494" s="301"/>
      <c r="L494" s="758"/>
    </row>
    <row r="495" spans="1:12" s="185" customFormat="1" ht="15" customHeight="1" outlineLevel="1">
      <c r="A495" s="167"/>
      <c r="B495" s="165"/>
      <c r="C495" s="168"/>
      <c r="D495" s="169"/>
      <c r="E495" s="170"/>
      <c r="F495" s="170"/>
      <c r="G495" s="303" t="s">
        <v>172</v>
      </c>
      <c r="H495" s="175"/>
      <c r="I495" s="175">
        <f>SUM(I492:I494)</f>
        <v>9950000</v>
      </c>
      <c r="J495" s="301"/>
      <c r="L495" s="758"/>
    </row>
    <row r="496" spans="1:12" s="185" customFormat="1" ht="15" customHeight="1" outlineLevel="1">
      <c r="A496" s="167"/>
      <c r="B496" s="165" t="s">
        <v>157</v>
      </c>
      <c r="C496" s="168" t="s">
        <v>158</v>
      </c>
      <c r="D496" s="169"/>
      <c r="E496" s="170"/>
      <c r="F496" s="170"/>
      <c r="G496" s="302"/>
      <c r="H496" s="175"/>
      <c r="I496" s="175"/>
      <c r="J496" s="301"/>
      <c r="L496" s="758"/>
    </row>
    <row r="497" spans="1:12" s="185" customFormat="1" ht="15" customHeight="1" outlineLevel="1">
      <c r="A497" s="167"/>
      <c r="B497" s="165"/>
      <c r="C497" s="168"/>
      <c r="D497" s="169"/>
      <c r="E497" s="170"/>
      <c r="F497" s="170"/>
      <c r="G497" s="302"/>
      <c r="H497" s="175"/>
      <c r="I497" s="175"/>
      <c r="J497" s="301"/>
      <c r="L497" s="758"/>
    </row>
    <row r="498" spans="1:12" s="185" customFormat="1" ht="15" customHeight="1" outlineLevel="1">
      <c r="A498" s="167"/>
      <c r="B498" s="165"/>
      <c r="C498" s="176"/>
      <c r="D498" s="169"/>
      <c r="E498" s="170"/>
      <c r="F498" s="170"/>
      <c r="G498" s="303" t="s">
        <v>159</v>
      </c>
      <c r="H498" s="175"/>
      <c r="I498" s="175">
        <f>I497</f>
        <v>0</v>
      </c>
      <c r="J498" s="301"/>
      <c r="L498" s="758"/>
    </row>
    <row r="499" spans="1:12" s="185" customFormat="1" ht="15" customHeight="1" outlineLevel="1">
      <c r="A499" s="167"/>
      <c r="B499" s="170"/>
      <c r="C499" s="227"/>
      <c r="D499" s="228"/>
      <c r="E499" s="170"/>
      <c r="F499" s="170"/>
      <c r="G499" s="302"/>
      <c r="H499" s="175"/>
      <c r="I499" s="175"/>
      <c r="J499" s="301"/>
      <c r="L499" s="758"/>
    </row>
    <row r="500" spans="1:12" s="185" customFormat="1" ht="15" customHeight="1" outlineLevel="1">
      <c r="A500" s="167"/>
      <c r="B500" s="165" t="s">
        <v>160</v>
      </c>
      <c r="C500" s="168" t="s">
        <v>161</v>
      </c>
      <c r="D500" s="169"/>
      <c r="E500" s="171"/>
      <c r="F500" s="171"/>
      <c r="G500" s="293"/>
      <c r="H500" s="175"/>
      <c r="I500" s="175">
        <f>I498+I495+I490</f>
        <v>14585750</v>
      </c>
      <c r="J500" s="301"/>
      <c r="L500" s="758"/>
    </row>
    <row r="501" spans="1:12" s="185" customFormat="1" ht="15" customHeight="1" outlineLevel="1">
      <c r="A501" s="167"/>
      <c r="B501" s="165" t="s">
        <v>162</v>
      </c>
      <c r="C501" s="168" t="s">
        <v>82</v>
      </c>
      <c r="D501" s="169"/>
      <c r="E501" s="194"/>
      <c r="F501" s="179"/>
      <c r="G501" s="180">
        <f>$J$3</f>
        <v>0.15</v>
      </c>
      <c r="H501" s="171"/>
      <c r="I501" s="175">
        <f>I500*G501</f>
        <v>2187862.5</v>
      </c>
      <c r="J501" s="172"/>
      <c r="L501" s="758"/>
    </row>
    <row r="502" spans="1:12" s="185" customFormat="1" ht="15" customHeight="1" outlineLevel="1">
      <c r="A502" s="167"/>
      <c r="B502" s="165" t="s">
        <v>163</v>
      </c>
      <c r="C502" s="168" t="s">
        <v>164</v>
      </c>
      <c r="D502" s="169"/>
      <c r="E502" s="171"/>
      <c r="F502" s="171"/>
      <c r="G502" s="293"/>
      <c r="H502" s="291"/>
      <c r="I502" s="175">
        <f>I500+I501</f>
        <v>16773612.5</v>
      </c>
      <c r="J502" s="301"/>
      <c r="L502" s="758"/>
    </row>
    <row r="503" spans="1:12" s="185" customFormat="1" ht="15" customHeight="1" outlineLevel="1">
      <c r="A503" s="167"/>
      <c r="B503" s="161"/>
      <c r="D503" s="186"/>
      <c r="E503" s="186"/>
      <c r="F503" s="186"/>
      <c r="G503" s="719"/>
      <c r="H503" s="304"/>
      <c r="I503" s="187"/>
      <c r="J503" s="301"/>
      <c r="L503" s="758"/>
    </row>
    <row r="504" spans="1:12" s="185" customFormat="1" ht="15" customHeight="1">
      <c r="A504" s="167" t="str">
        <f>B504</f>
        <v>A.4.6.1.5.</v>
      </c>
      <c r="B504" s="159" t="s">
        <v>220</v>
      </c>
      <c r="D504" s="167" t="s">
        <v>221</v>
      </c>
      <c r="E504" s="270"/>
      <c r="F504" s="270"/>
      <c r="G504" s="299"/>
      <c r="J504" s="172">
        <f>I522</f>
        <v>1051962.5</v>
      </c>
      <c r="L504" s="758"/>
    </row>
    <row r="505" spans="1:12" s="185" customFormat="1" ht="31.2" outlineLevel="1">
      <c r="A505" s="167"/>
      <c r="B505" s="205" t="s">
        <v>75</v>
      </c>
      <c r="C505" s="340" t="s">
        <v>140</v>
      </c>
      <c r="D505" s="341"/>
      <c r="E505" s="164" t="s">
        <v>141</v>
      </c>
      <c r="F505" s="164" t="s">
        <v>142</v>
      </c>
      <c r="G505" s="300" t="s">
        <v>143</v>
      </c>
      <c r="H505" s="165" t="s">
        <v>144</v>
      </c>
      <c r="I505" s="165" t="s">
        <v>145</v>
      </c>
      <c r="J505" s="301"/>
      <c r="L505" s="758"/>
    </row>
    <row r="506" spans="1:12" s="185" customFormat="1" ht="15" customHeight="1" outlineLevel="1">
      <c r="A506" s="167"/>
      <c r="B506" s="165" t="s">
        <v>146</v>
      </c>
      <c r="C506" s="168" t="s">
        <v>147</v>
      </c>
      <c r="D506" s="169"/>
      <c r="E506" s="170"/>
      <c r="F506" s="170"/>
      <c r="G506" s="302"/>
      <c r="H506" s="171"/>
      <c r="I506" s="171"/>
      <c r="J506" s="301"/>
      <c r="L506" s="758"/>
    </row>
    <row r="507" spans="1:12" s="185" customFormat="1" ht="15" customHeight="1" outlineLevel="1">
      <c r="A507" s="167"/>
      <c r="B507" s="165"/>
      <c r="C507" s="168" t="s">
        <v>77</v>
      </c>
      <c r="D507" s="169"/>
      <c r="E507" s="165" t="s">
        <v>148</v>
      </c>
      <c r="F507" s="165" t="s">
        <v>76</v>
      </c>
      <c r="G507" s="293">
        <v>1</v>
      </c>
      <c r="H507" s="174">
        <f>VLOOKUP(C507,'UPAH-BAHAN'!D:F,2,0)</f>
        <v>120000</v>
      </c>
      <c r="I507" s="175">
        <f>G507*H507</f>
        <v>120000</v>
      </c>
      <c r="J507" s="301"/>
      <c r="L507" s="758"/>
    </row>
    <row r="508" spans="1:12" s="185" customFormat="1" ht="15" customHeight="1" outlineLevel="1">
      <c r="A508" s="167"/>
      <c r="B508" s="165"/>
      <c r="C508" s="168" t="s">
        <v>97</v>
      </c>
      <c r="D508" s="169"/>
      <c r="E508" s="165" t="s">
        <v>149</v>
      </c>
      <c r="F508" s="165" t="s">
        <v>76</v>
      </c>
      <c r="G508" s="293">
        <v>3</v>
      </c>
      <c r="H508" s="174">
        <f>VLOOKUP(C508,'UPAH-BAHAN'!D:F,2,0)</f>
        <v>160000</v>
      </c>
      <c r="I508" s="175">
        <f>G508*H508</f>
        <v>480000</v>
      </c>
      <c r="J508" s="301"/>
      <c r="L508" s="758"/>
    </row>
    <row r="509" spans="1:12" s="185" customFormat="1" ht="15" customHeight="1" outlineLevel="1">
      <c r="A509" s="167"/>
      <c r="B509" s="165"/>
      <c r="C509" s="168" t="s">
        <v>99</v>
      </c>
      <c r="D509" s="169"/>
      <c r="E509" s="165" t="s">
        <v>150</v>
      </c>
      <c r="F509" s="165" t="s">
        <v>76</v>
      </c>
      <c r="G509" s="303">
        <v>0.3</v>
      </c>
      <c r="H509" s="174">
        <f>VLOOKUP(C509,'UPAH-BAHAN'!D:F,2,0)</f>
        <v>170000</v>
      </c>
      <c r="I509" s="175">
        <f>G509*H509</f>
        <v>51000</v>
      </c>
      <c r="J509" s="301"/>
      <c r="L509" s="758"/>
    </row>
    <row r="510" spans="1:12" s="185" customFormat="1" ht="15" customHeight="1" outlineLevel="1">
      <c r="A510" s="167"/>
      <c r="B510" s="165"/>
      <c r="C510" s="168" t="s">
        <v>80</v>
      </c>
      <c r="D510" s="169"/>
      <c r="E510" s="165" t="s">
        <v>151</v>
      </c>
      <c r="F510" s="165" t="s">
        <v>76</v>
      </c>
      <c r="G510" s="293">
        <v>0.05</v>
      </c>
      <c r="H510" s="174">
        <f>VLOOKUP(C510,'UPAH-BAHAN'!D:F,2,0)</f>
        <v>225000</v>
      </c>
      <c r="I510" s="175">
        <f>G510*H510</f>
        <v>11250</v>
      </c>
      <c r="J510" s="301"/>
      <c r="L510" s="758"/>
    </row>
    <row r="511" spans="1:12" s="185" customFormat="1" ht="15" customHeight="1" outlineLevel="1">
      <c r="A511" s="167"/>
      <c r="B511" s="165"/>
      <c r="C511" s="168"/>
      <c r="D511" s="169"/>
      <c r="E511" s="170"/>
      <c r="F511" s="170"/>
      <c r="G511" s="303" t="s">
        <v>171</v>
      </c>
      <c r="H511" s="177"/>
      <c r="I511" s="175">
        <f>SUM(I507:I510)</f>
        <v>662250</v>
      </c>
      <c r="J511" s="301"/>
      <c r="L511" s="758"/>
    </row>
    <row r="512" spans="1:12" s="185" customFormat="1" ht="15" customHeight="1" outlineLevel="1">
      <c r="A512" s="167"/>
      <c r="B512" s="165" t="s">
        <v>153</v>
      </c>
      <c r="C512" s="168" t="s">
        <v>154</v>
      </c>
      <c r="D512" s="169"/>
      <c r="E512" s="170"/>
      <c r="F512" s="170"/>
      <c r="G512" s="303"/>
      <c r="H512" s="175"/>
      <c r="I512" s="175"/>
      <c r="J512" s="301"/>
      <c r="L512" s="758"/>
    </row>
    <row r="513" spans="1:12" s="185" customFormat="1" ht="15" customHeight="1" outlineLevel="1">
      <c r="A513" s="167"/>
      <c r="B513" s="165"/>
      <c r="C513" s="168" t="s">
        <v>230</v>
      </c>
      <c r="D513" s="169"/>
      <c r="E513" s="170"/>
      <c r="F513" s="165" t="s">
        <v>25</v>
      </c>
      <c r="G513" s="293">
        <v>0.04</v>
      </c>
      <c r="H513" s="174">
        <f>VLOOKUP(C513,'UPAH-BAHAN'!D:F,2,0)</f>
        <v>6000000</v>
      </c>
      <c r="I513" s="175">
        <f>G513*H513</f>
        <v>240000</v>
      </c>
      <c r="J513" s="301"/>
      <c r="L513" s="758"/>
    </row>
    <row r="514" spans="1:12" s="185" customFormat="1" ht="15" customHeight="1" outlineLevel="1">
      <c r="A514" s="167"/>
      <c r="B514" s="165"/>
      <c r="C514" s="168" t="s">
        <v>219</v>
      </c>
      <c r="D514" s="169"/>
      <c r="E514" s="170"/>
      <c r="F514" s="165" t="s">
        <v>69</v>
      </c>
      <c r="G514" s="293">
        <v>0.5</v>
      </c>
      <c r="H514" s="174">
        <f>VLOOKUP(C514,'UPAH-BAHAN'!D:F,2,0)</f>
        <v>25000</v>
      </c>
      <c r="I514" s="175">
        <f>G514*H514</f>
        <v>12500</v>
      </c>
      <c r="J514" s="301"/>
      <c r="L514" s="758"/>
    </row>
    <row r="515" spans="1:12" s="185" customFormat="1" ht="15" customHeight="1" outlineLevel="1">
      <c r="A515" s="167"/>
      <c r="B515" s="165"/>
      <c r="C515" s="168"/>
      <c r="D515" s="169"/>
      <c r="E515" s="170"/>
      <c r="F515" s="170"/>
      <c r="G515" s="303" t="s">
        <v>172</v>
      </c>
      <c r="H515" s="175"/>
      <c r="I515" s="175">
        <f>SUM(I513:I514)</f>
        <v>252500</v>
      </c>
      <c r="J515" s="301"/>
      <c r="L515" s="758"/>
    </row>
    <row r="516" spans="1:12" s="185" customFormat="1" ht="15" customHeight="1" outlineLevel="1">
      <c r="A516" s="167"/>
      <c r="B516" s="165" t="s">
        <v>157</v>
      </c>
      <c r="C516" s="168" t="s">
        <v>158</v>
      </c>
      <c r="D516" s="169"/>
      <c r="E516" s="170"/>
      <c r="F516" s="170"/>
      <c r="G516" s="302"/>
      <c r="H516" s="175"/>
      <c r="I516" s="175"/>
      <c r="J516" s="301"/>
      <c r="L516" s="758"/>
    </row>
    <row r="517" spans="1:12" s="185" customFormat="1" ht="15" customHeight="1" outlineLevel="1">
      <c r="A517" s="167"/>
      <c r="B517" s="165"/>
      <c r="C517" s="168"/>
      <c r="D517" s="169"/>
      <c r="E517" s="170"/>
      <c r="F517" s="170"/>
      <c r="G517" s="302"/>
      <c r="H517" s="175"/>
      <c r="I517" s="175"/>
      <c r="J517" s="301"/>
      <c r="L517" s="758"/>
    </row>
    <row r="518" spans="1:12" s="185" customFormat="1" ht="15" customHeight="1" outlineLevel="1">
      <c r="A518" s="167"/>
      <c r="B518" s="165"/>
      <c r="C518" s="176"/>
      <c r="D518" s="169"/>
      <c r="E518" s="170"/>
      <c r="F518" s="170"/>
      <c r="G518" s="303" t="s">
        <v>159</v>
      </c>
      <c r="H518" s="175"/>
      <c r="I518" s="175">
        <f>I517</f>
        <v>0</v>
      </c>
      <c r="J518" s="301"/>
      <c r="L518" s="758"/>
    </row>
    <row r="519" spans="1:12" s="185" customFormat="1" ht="15" customHeight="1" outlineLevel="1">
      <c r="A519" s="167"/>
      <c r="B519" s="170"/>
      <c r="C519" s="227"/>
      <c r="D519" s="228"/>
      <c r="E519" s="170"/>
      <c r="F519" s="170"/>
      <c r="G519" s="302"/>
      <c r="H519" s="175"/>
      <c r="I519" s="175"/>
      <c r="J519" s="301"/>
      <c r="L519" s="758"/>
    </row>
    <row r="520" spans="1:12" s="185" customFormat="1" ht="15" customHeight="1" outlineLevel="1">
      <c r="A520" s="167"/>
      <c r="B520" s="165" t="s">
        <v>160</v>
      </c>
      <c r="C520" s="168" t="s">
        <v>161</v>
      </c>
      <c r="D520" s="169"/>
      <c r="E520" s="171"/>
      <c r="F520" s="171"/>
      <c r="G520" s="293"/>
      <c r="H520" s="175"/>
      <c r="I520" s="175">
        <f>I518+I515+I511</f>
        <v>914750</v>
      </c>
      <c r="J520" s="301"/>
      <c r="L520" s="758"/>
    </row>
    <row r="521" spans="1:12" s="185" customFormat="1" ht="15" customHeight="1" outlineLevel="1">
      <c r="A521" s="167"/>
      <c r="B521" s="165" t="s">
        <v>162</v>
      </c>
      <c r="C521" s="168" t="s">
        <v>82</v>
      </c>
      <c r="D521" s="169"/>
      <c r="E521" s="194"/>
      <c r="F521" s="179"/>
      <c r="G521" s="180">
        <f>$J$3</f>
        <v>0.15</v>
      </c>
      <c r="H521" s="171"/>
      <c r="I521" s="175">
        <f>I520*G521</f>
        <v>137212.5</v>
      </c>
      <c r="J521" s="172"/>
      <c r="L521" s="758"/>
    </row>
    <row r="522" spans="1:12" s="185" customFormat="1" ht="15" customHeight="1" outlineLevel="1">
      <c r="A522" s="167"/>
      <c r="B522" s="165" t="s">
        <v>163</v>
      </c>
      <c r="C522" s="168" t="s">
        <v>164</v>
      </c>
      <c r="D522" s="169"/>
      <c r="E522" s="171"/>
      <c r="F522" s="171"/>
      <c r="G522" s="293"/>
      <c r="H522" s="291"/>
      <c r="I522" s="175">
        <f>I520+I521</f>
        <v>1051962.5</v>
      </c>
      <c r="J522" s="301"/>
      <c r="L522" s="758"/>
    </row>
    <row r="523" spans="1:12" s="185" customFormat="1" ht="15" customHeight="1" outlineLevel="1">
      <c r="A523" s="167"/>
      <c r="B523" s="161"/>
      <c r="D523" s="186"/>
      <c r="E523" s="186"/>
      <c r="F523" s="186"/>
      <c r="G523" s="719"/>
      <c r="H523" s="304"/>
      <c r="I523" s="187"/>
      <c r="J523" s="301"/>
      <c r="L523" s="758"/>
    </row>
    <row r="524" spans="1:12" s="185" customFormat="1" ht="15" customHeight="1">
      <c r="A524" s="167" t="str">
        <f>B524</f>
        <v>A.4.6.1.6.</v>
      </c>
      <c r="B524" s="159" t="s">
        <v>223</v>
      </c>
      <c r="D524" s="167" t="s">
        <v>224</v>
      </c>
      <c r="E524" s="270"/>
      <c r="F524" s="270"/>
      <c r="G524" s="299"/>
      <c r="J524" s="172">
        <f>I543</f>
        <v>935295</v>
      </c>
      <c r="L524" s="758"/>
    </row>
    <row r="525" spans="1:12" s="185" customFormat="1" ht="31.2" outlineLevel="1">
      <c r="A525" s="167"/>
      <c r="B525" s="205" t="s">
        <v>75</v>
      </c>
      <c r="C525" s="340" t="s">
        <v>140</v>
      </c>
      <c r="D525" s="341"/>
      <c r="E525" s="164" t="s">
        <v>141</v>
      </c>
      <c r="F525" s="164" t="s">
        <v>142</v>
      </c>
      <c r="G525" s="300" t="s">
        <v>143</v>
      </c>
      <c r="H525" s="165" t="s">
        <v>144</v>
      </c>
      <c r="I525" s="165" t="s">
        <v>145</v>
      </c>
      <c r="J525" s="301"/>
      <c r="L525" s="758"/>
    </row>
    <row r="526" spans="1:12" s="185" customFormat="1" ht="15" customHeight="1" outlineLevel="1">
      <c r="A526" s="167"/>
      <c r="B526" s="165" t="s">
        <v>146</v>
      </c>
      <c r="C526" s="168" t="s">
        <v>147</v>
      </c>
      <c r="D526" s="169"/>
      <c r="E526" s="170"/>
      <c r="F526" s="170"/>
      <c r="G526" s="302"/>
      <c r="H526" s="171"/>
      <c r="I526" s="171"/>
      <c r="J526" s="301"/>
      <c r="L526" s="758"/>
    </row>
    <row r="527" spans="1:12" s="185" customFormat="1" ht="15" customHeight="1" outlineLevel="1">
      <c r="A527" s="167"/>
      <c r="B527" s="165"/>
      <c r="C527" s="168" t="s">
        <v>77</v>
      </c>
      <c r="D527" s="169"/>
      <c r="E527" s="165" t="s">
        <v>148</v>
      </c>
      <c r="F527" s="165" t="s">
        <v>76</v>
      </c>
      <c r="G527" s="293">
        <v>0.8</v>
      </c>
      <c r="H527" s="174">
        <f>VLOOKUP(C527,'UPAH-BAHAN'!D:F,2,0)</f>
        <v>120000</v>
      </c>
      <c r="I527" s="175">
        <f>G527*H527</f>
        <v>96000</v>
      </c>
      <c r="J527" s="301"/>
      <c r="L527" s="758"/>
    </row>
    <row r="528" spans="1:12" s="185" customFormat="1" ht="15" customHeight="1" outlineLevel="1">
      <c r="A528" s="167"/>
      <c r="B528" s="165"/>
      <c r="C528" s="168" t="s">
        <v>97</v>
      </c>
      <c r="D528" s="169"/>
      <c r="E528" s="165" t="s">
        <v>149</v>
      </c>
      <c r="F528" s="165" t="s">
        <v>76</v>
      </c>
      <c r="G528" s="293">
        <v>2.4</v>
      </c>
      <c r="H528" s="174">
        <f>VLOOKUP(C528,'UPAH-BAHAN'!D:F,2,0)</f>
        <v>160000</v>
      </c>
      <c r="I528" s="175">
        <f>G528*H528</f>
        <v>384000</v>
      </c>
      <c r="J528" s="301"/>
      <c r="L528" s="758"/>
    </row>
    <row r="529" spans="1:12" s="185" customFormat="1" ht="15" customHeight="1" outlineLevel="1">
      <c r="A529" s="167"/>
      <c r="B529" s="165"/>
      <c r="C529" s="168" t="s">
        <v>99</v>
      </c>
      <c r="D529" s="169"/>
      <c r="E529" s="165" t="s">
        <v>150</v>
      </c>
      <c r="F529" s="165" t="s">
        <v>76</v>
      </c>
      <c r="G529" s="303">
        <v>0.24</v>
      </c>
      <c r="H529" s="174">
        <f>VLOOKUP(C529,'UPAH-BAHAN'!D:F,2,0)</f>
        <v>170000</v>
      </c>
      <c r="I529" s="175">
        <f>G529*H529</f>
        <v>40800</v>
      </c>
      <c r="J529" s="301"/>
      <c r="L529" s="758"/>
    </row>
    <row r="530" spans="1:12" s="185" customFormat="1" ht="15" customHeight="1" outlineLevel="1">
      <c r="A530" s="167"/>
      <c r="B530" s="165"/>
      <c r="C530" s="168" t="s">
        <v>80</v>
      </c>
      <c r="D530" s="169"/>
      <c r="E530" s="165" t="s">
        <v>151</v>
      </c>
      <c r="F530" s="165" t="s">
        <v>76</v>
      </c>
      <c r="G530" s="293">
        <v>0.04</v>
      </c>
      <c r="H530" s="174">
        <f>VLOOKUP(C530,'UPAH-BAHAN'!D:F,2,0)</f>
        <v>225000</v>
      </c>
      <c r="I530" s="175">
        <f>G530*H530</f>
        <v>9000</v>
      </c>
      <c r="J530" s="301"/>
      <c r="L530" s="758"/>
    </row>
    <row r="531" spans="1:12" s="185" customFormat="1" ht="15" customHeight="1" outlineLevel="1">
      <c r="A531" s="167"/>
      <c r="B531" s="165"/>
      <c r="C531" s="168"/>
      <c r="D531" s="169"/>
      <c r="E531" s="170"/>
      <c r="F531" s="170"/>
      <c r="G531" s="303" t="s">
        <v>171</v>
      </c>
      <c r="H531" s="177"/>
      <c r="I531" s="175">
        <f>SUM(I527:I530)</f>
        <v>529800</v>
      </c>
      <c r="J531" s="301"/>
      <c r="L531" s="758"/>
    </row>
    <row r="532" spans="1:12" s="185" customFormat="1" ht="15" customHeight="1" outlineLevel="1">
      <c r="A532" s="167"/>
      <c r="B532" s="165" t="s">
        <v>153</v>
      </c>
      <c r="C532" s="168" t="s">
        <v>154</v>
      </c>
      <c r="D532" s="169"/>
      <c r="E532" s="170"/>
      <c r="F532" s="170"/>
      <c r="G532" s="303"/>
      <c r="H532" s="175"/>
      <c r="I532" s="175"/>
      <c r="J532" s="301"/>
      <c r="L532" s="758"/>
    </row>
    <row r="533" spans="1:12" s="185" customFormat="1" ht="15" customHeight="1" outlineLevel="1">
      <c r="A533" s="167"/>
      <c r="B533" s="165"/>
      <c r="C533" s="168" t="s">
        <v>230</v>
      </c>
      <c r="D533" s="169"/>
      <c r="E533" s="170"/>
      <c r="F533" s="165" t="s">
        <v>25</v>
      </c>
      <c r="G533" s="293">
        <v>2.4E-2</v>
      </c>
      <c r="H533" s="174">
        <f>VLOOKUP(C533,'UPAH-BAHAN'!D:F,2,0)</f>
        <v>6000000</v>
      </c>
      <c r="I533" s="175">
        <f>G533*H533</f>
        <v>144000</v>
      </c>
      <c r="J533" s="301"/>
      <c r="L533" s="758"/>
    </row>
    <row r="534" spans="1:12" s="185" customFormat="1" ht="15" customHeight="1" outlineLevel="1">
      <c r="A534" s="167"/>
      <c r="B534" s="165"/>
      <c r="C534" s="168" t="s">
        <v>219</v>
      </c>
      <c r="D534" s="169"/>
      <c r="E534" s="170"/>
      <c r="F534" s="165" t="s">
        <v>69</v>
      </c>
      <c r="G534" s="293">
        <v>0.3</v>
      </c>
      <c r="H534" s="174">
        <f>VLOOKUP(C534,'UPAH-BAHAN'!D:F,2,0)</f>
        <v>25000</v>
      </c>
      <c r="I534" s="175">
        <f>G534*H534</f>
        <v>7500</v>
      </c>
      <c r="J534" s="301"/>
      <c r="L534" s="758"/>
    </row>
    <row r="535" spans="1:12" s="185" customFormat="1" ht="15" customHeight="1" outlineLevel="1">
      <c r="A535" s="167"/>
      <c r="B535" s="165"/>
      <c r="C535" s="168" t="s">
        <v>225</v>
      </c>
      <c r="D535" s="169"/>
      <c r="E535" s="170"/>
      <c r="F535" s="165" t="s">
        <v>41</v>
      </c>
      <c r="G535" s="293">
        <v>1.1000000000000001</v>
      </c>
      <c r="H535" s="174">
        <f>VLOOKUP(C535,'UPAH-BAHAN'!D:F,2,0)</f>
        <v>120000</v>
      </c>
      <c r="I535" s="175">
        <f>G535*H535</f>
        <v>132000</v>
      </c>
      <c r="J535" s="301"/>
      <c r="K535" s="305">
        <f>H535+H528</f>
        <v>280000</v>
      </c>
      <c r="L535" s="758"/>
    </row>
    <row r="536" spans="1:12" s="185" customFormat="1" ht="15" customHeight="1" outlineLevel="1">
      <c r="A536" s="167"/>
      <c r="B536" s="165"/>
      <c r="C536" s="168"/>
      <c r="D536" s="169"/>
      <c r="E536" s="170"/>
      <c r="F536" s="170"/>
      <c r="G536" s="303" t="s">
        <v>172</v>
      </c>
      <c r="H536" s="175"/>
      <c r="I536" s="175">
        <f>SUM(I533:I535)</f>
        <v>283500</v>
      </c>
      <c r="J536" s="301"/>
      <c r="L536" s="758"/>
    </row>
    <row r="537" spans="1:12" s="185" customFormat="1" ht="15" customHeight="1" outlineLevel="1">
      <c r="A537" s="167"/>
      <c r="B537" s="165" t="s">
        <v>157</v>
      </c>
      <c r="C537" s="168" t="s">
        <v>158</v>
      </c>
      <c r="D537" s="169"/>
      <c r="E537" s="170"/>
      <c r="F537" s="170"/>
      <c r="G537" s="302"/>
      <c r="H537" s="175"/>
      <c r="I537" s="175"/>
      <c r="J537" s="301"/>
      <c r="L537" s="758"/>
    </row>
    <row r="538" spans="1:12" s="185" customFormat="1" ht="15" customHeight="1" outlineLevel="1">
      <c r="A538" s="167"/>
      <c r="B538" s="165"/>
      <c r="C538" s="168"/>
      <c r="D538" s="169"/>
      <c r="E538" s="170"/>
      <c r="F538" s="170"/>
      <c r="G538" s="302"/>
      <c r="H538" s="175"/>
      <c r="I538" s="175"/>
      <c r="J538" s="301"/>
      <c r="L538" s="758"/>
    </row>
    <row r="539" spans="1:12" s="185" customFormat="1" ht="15" customHeight="1" outlineLevel="1">
      <c r="A539" s="167"/>
      <c r="B539" s="165"/>
      <c r="C539" s="176"/>
      <c r="D539" s="169"/>
      <c r="E539" s="170"/>
      <c r="F539" s="170"/>
      <c r="G539" s="303" t="s">
        <v>159</v>
      </c>
      <c r="H539" s="175"/>
      <c r="I539" s="175">
        <f>I538</f>
        <v>0</v>
      </c>
      <c r="J539" s="301"/>
      <c r="L539" s="758"/>
    </row>
    <row r="540" spans="1:12" s="185" customFormat="1" ht="15" customHeight="1" outlineLevel="1">
      <c r="A540" s="167"/>
      <c r="B540" s="170"/>
      <c r="C540" s="227"/>
      <c r="D540" s="228"/>
      <c r="E540" s="170"/>
      <c r="F540" s="170"/>
      <c r="G540" s="302"/>
      <c r="H540" s="175"/>
      <c r="I540" s="175"/>
      <c r="J540" s="301"/>
      <c r="L540" s="758"/>
    </row>
    <row r="541" spans="1:12" s="185" customFormat="1" ht="15" customHeight="1" outlineLevel="1">
      <c r="A541" s="167"/>
      <c r="B541" s="165" t="s">
        <v>160</v>
      </c>
      <c r="C541" s="168" t="s">
        <v>161</v>
      </c>
      <c r="D541" s="169"/>
      <c r="E541" s="171"/>
      <c r="F541" s="171"/>
      <c r="G541" s="293"/>
      <c r="H541" s="175"/>
      <c r="I541" s="175">
        <f>I539+I536+I531</f>
        <v>813300</v>
      </c>
      <c r="J541" s="301"/>
      <c r="L541" s="758"/>
    </row>
    <row r="542" spans="1:12" s="185" customFormat="1" ht="15" customHeight="1" outlineLevel="1">
      <c r="A542" s="167"/>
      <c r="B542" s="165" t="s">
        <v>162</v>
      </c>
      <c r="C542" s="168" t="s">
        <v>82</v>
      </c>
      <c r="D542" s="169"/>
      <c r="E542" s="194"/>
      <c r="F542" s="179"/>
      <c r="G542" s="180">
        <f>$J$3</f>
        <v>0.15</v>
      </c>
      <c r="H542" s="171"/>
      <c r="I542" s="175">
        <f>I541*G542</f>
        <v>121995</v>
      </c>
      <c r="J542" s="172"/>
      <c r="L542" s="758"/>
    </row>
    <row r="543" spans="1:12" s="185" customFormat="1" ht="15" customHeight="1" outlineLevel="1">
      <c r="A543" s="167"/>
      <c r="B543" s="165" t="s">
        <v>163</v>
      </c>
      <c r="C543" s="168" t="s">
        <v>164</v>
      </c>
      <c r="D543" s="169"/>
      <c r="E543" s="171"/>
      <c r="F543" s="171"/>
      <c r="G543" s="293"/>
      <c r="H543" s="291"/>
      <c r="I543" s="175">
        <f>I541+I542</f>
        <v>935295</v>
      </c>
      <c r="J543" s="301"/>
      <c r="L543" s="758"/>
    </row>
    <row r="544" spans="1:12" outlineLevel="1">
      <c r="B544" s="184"/>
      <c r="D544" s="186"/>
      <c r="E544" s="186"/>
      <c r="F544" s="186"/>
      <c r="G544" s="184"/>
      <c r="H544" s="204"/>
      <c r="I544" s="204"/>
    </row>
    <row r="545" spans="1:12" s="185" customFormat="1" ht="15" customHeight="1">
      <c r="A545" s="167" t="str">
        <f>B545</f>
        <v>A.4.6.2.2</v>
      </c>
      <c r="B545" s="159" t="s">
        <v>253</v>
      </c>
      <c r="D545" s="167" t="s">
        <v>254</v>
      </c>
      <c r="E545" s="270"/>
      <c r="F545" s="270"/>
      <c r="G545" s="299"/>
      <c r="J545" s="172">
        <f>I562</f>
        <v>305698.75</v>
      </c>
      <c r="L545" s="758"/>
    </row>
    <row r="546" spans="1:12" s="185" customFormat="1" ht="31.2" outlineLevel="1">
      <c r="A546" s="167"/>
      <c r="B546" s="205" t="s">
        <v>75</v>
      </c>
      <c r="C546" s="340" t="s">
        <v>140</v>
      </c>
      <c r="D546" s="341"/>
      <c r="E546" s="164" t="s">
        <v>141</v>
      </c>
      <c r="F546" s="164" t="s">
        <v>142</v>
      </c>
      <c r="G546" s="300" t="s">
        <v>143</v>
      </c>
      <c r="H546" s="165" t="s">
        <v>144</v>
      </c>
      <c r="I546" s="165" t="s">
        <v>145</v>
      </c>
      <c r="J546" s="301"/>
      <c r="L546" s="758"/>
    </row>
    <row r="547" spans="1:12" s="185" customFormat="1" ht="15" customHeight="1" outlineLevel="1">
      <c r="A547" s="167"/>
      <c r="B547" s="165" t="s">
        <v>146</v>
      </c>
      <c r="C547" s="168" t="s">
        <v>147</v>
      </c>
      <c r="D547" s="169"/>
      <c r="E547" s="170"/>
      <c r="F547" s="170"/>
      <c r="G547" s="302"/>
      <c r="H547" s="171"/>
      <c r="I547" s="171"/>
      <c r="J547" s="301"/>
      <c r="L547" s="758"/>
    </row>
    <row r="548" spans="1:12" s="185" customFormat="1" ht="15" customHeight="1" outlineLevel="1">
      <c r="A548" s="167"/>
      <c r="B548" s="165"/>
      <c r="C548" s="168" t="s">
        <v>77</v>
      </c>
      <c r="D548" s="169"/>
      <c r="E548" s="165" t="s">
        <v>148</v>
      </c>
      <c r="F548" s="165" t="s">
        <v>76</v>
      </c>
      <c r="G548" s="293">
        <v>0.01</v>
      </c>
      <c r="H548" s="174">
        <f>VLOOKUP(C548,'UPAH-BAHAN'!D:F,2,0)</f>
        <v>120000</v>
      </c>
      <c r="I548" s="175">
        <f>G548*H548</f>
        <v>1200</v>
      </c>
      <c r="J548" s="301"/>
      <c r="L548" s="758"/>
    </row>
    <row r="549" spans="1:12" s="185" customFormat="1" ht="15" customHeight="1" outlineLevel="1">
      <c r="A549" s="167"/>
      <c r="B549" s="165"/>
      <c r="C549" s="168" t="s">
        <v>97</v>
      </c>
      <c r="D549" s="169"/>
      <c r="E549" s="165" t="s">
        <v>149</v>
      </c>
      <c r="F549" s="165" t="s">
        <v>76</v>
      </c>
      <c r="G549" s="293">
        <v>0.5</v>
      </c>
      <c r="H549" s="174">
        <f>VLOOKUP(C549,'UPAH-BAHAN'!D:F,2,0)</f>
        <v>160000</v>
      </c>
      <c r="I549" s="175">
        <f>G549*H549</f>
        <v>80000</v>
      </c>
      <c r="J549" s="301"/>
      <c r="L549" s="758"/>
    </row>
    <row r="550" spans="1:12" s="185" customFormat="1" ht="15" customHeight="1" outlineLevel="1">
      <c r="A550" s="167"/>
      <c r="B550" s="165"/>
      <c r="C550" s="168" t="s">
        <v>99</v>
      </c>
      <c r="D550" s="169"/>
      <c r="E550" s="165" t="s">
        <v>150</v>
      </c>
      <c r="F550" s="165" t="s">
        <v>76</v>
      </c>
      <c r="G550" s="303">
        <v>0.05</v>
      </c>
      <c r="H550" s="174">
        <f>VLOOKUP(C550,'UPAH-BAHAN'!D:F,2,0)</f>
        <v>170000</v>
      </c>
      <c r="I550" s="175">
        <f>G550*H550</f>
        <v>8500</v>
      </c>
      <c r="J550" s="301"/>
      <c r="L550" s="758"/>
    </row>
    <row r="551" spans="1:12" s="185" customFormat="1" ht="15" customHeight="1" outlineLevel="1">
      <c r="A551" s="167"/>
      <c r="B551" s="165"/>
      <c r="C551" s="168" t="s">
        <v>80</v>
      </c>
      <c r="D551" s="169"/>
      <c r="E551" s="165" t="s">
        <v>151</v>
      </c>
      <c r="F551" s="165" t="s">
        <v>76</v>
      </c>
      <c r="G551" s="293">
        <v>5.0000000000000001E-3</v>
      </c>
      <c r="H551" s="174">
        <f>VLOOKUP(C551,'UPAH-BAHAN'!D:F,2,0)</f>
        <v>225000</v>
      </c>
      <c r="I551" s="175">
        <f>G551*H551</f>
        <v>1125</v>
      </c>
      <c r="J551" s="301"/>
      <c r="L551" s="758"/>
    </row>
    <row r="552" spans="1:12" s="185" customFormat="1" ht="15" customHeight="1" outlineLevel="1">
      <c r="A552" s="167"/>
      <c r="B552" s="165"/>
      <c r="C552" s="168"/>
      <c r="D552" s="169"/>
      <c r="E552" s="170"/>
      <c r="F552" s="170"/>
      <c r="G552" s="303" t="s">
        <v>171</v>
      </c>
      <c r="H552" s="177"/>
      <c r="I552" s="175">
        <f>SUM(I548:I551)</f>
        <v>90825</v>
      </c>
      <c r="J552" s="301"/>
      <c r="L552" s="758"/>
    </row>
    <row r="553" spans="1:12" s="185" customFormat="1" ht="15" customHeight="1" outlineLevel="1">
      <c r="A553" s="167"/>
      <c r="B553" s="165" t="s">
        <v>153</v>
      </c>
      <c r="C553" s="168" t="s">
        <v>154</v>
      </c>
      <c r="D553" s="169"/>
      <c r="E553" s="170"/>
      <c r="F553" s="170"/>
      <c r="G553" s="303"/>
      <c r="H553" s="175"/>
      <c r="I553" s="175"/>
      <c r="J553" s="301"/>
      <c r="L553" s="758"/>
    </row>
    <row r="554" spans="1:12" s="185" customFormat="1" ht="15" customHeight="1" outlineLevel="1">
      <c r="A554" s="167"/>
      <c r="B554" s="165"/>
      <c r="C554" s="168" t="s">
        <v>255</v>
      </c>
      <c r="D554" s="169"/>
      <c r="E554" s="170"/>
      <c r="F554" s="165" t="s">
        <v>22</v>
      </c>
      <c r="G554" s="293">
        <v>1</v>
      </c>
      <c r="H554" s="174">
        <f>VLOOKUP(C554,'UPAH-BAHAN'!D:F,2,0)</f>
        <v>175000</v>
      </c>
      <c r="I554" s="175">
        <f>G554*H554</f>
        <v>175000</v>
      </c>
      <c r="J554" s="301"/>
      <c r="L554" s="758"/>
    </row>
    <row r="555" spans="1:12" s="185" customFormat="1" ht="15" customHeight="1" outlineLevel="1">
      <c r="A555" s="167"/>
      <c r="B555" s="165"/>
      <c r="C555" s="168"/>
      <c r="D555" s="169"/>
      <c r="E555" s="170"/>
      <c r="F555" s="170"/>
      <c r="G555" s="303" t="s">
        <v>172</v>
      </c>
      <c r="H555" s="175"/>
      <c r="I555" s="175">
        <f>SUM(I554:I554)</f>
        <v>175000</v>
      </c>
      <c r="J555" s="301"/>
      <c r="L555" s="758"/>
    </row>
    <row r="556" spans="1:12" s="185" customFormat="1" ht="15" customHeight="1" outlineLevel="1">
      <c r="A556" s="167"/>
      <c r="B556" s="165" t="s">
        <v>157</v>
      </c>
      <c r="C556" s="168" t="s">
        <v>158</v>
      </c>
      <c r="D556" s="169"/>
      <c r="E556" s="170"/>
      <c r="F556" s="170"/>
      <c r="G556" s="302"/>
      <c r="H556" s="175"/>
      <c r="I556" s="175"/>
      <c r="J556" s="301"/>
      <c r="L556" s="758"/>
    </row>
    <row r="557" spans="1:12" s="185" customFormat="1" ht="15" customHeight="1" outlineLevel="1">
      <c r="A557" s="167"/>
      <c r="B557" s="165"/>
      <c r="C557" s="168"/>
      <c r="D557" s="169"/>
      <c r="E557" s="170"/>
      <c r="F557" s="170"/>
      <c r="G557" s="302"/>
      <c r="H557" s="175"/>
      <c r="I557" s="175"/>
      <c r="J557" s="301"/>
      <c r="L557" s="758"/>
    </row>
    <row r="558" spans="1:12" s="185" customFormat="1" ht="15" customHeight="1" outlineLevel="1">
      <c r="A558" s="167"/>
      <c r="B558" s="165"/>
      <c r="C558" s="176"/>
      <c r="D558" s="169"/>
      <c r="E558" s="170"/>
      <c r="F558" s="170"/>
      <c r="G558" s="303" t="s">
        <v>159</v>
      </c>
      <c r="H558" s="175"/>
      <c r="I558" s="175">
        <f>I557</f>
        <v>0</v>
      </c>
      <c r="J558" s="301"/>
      <c r="L558" s="758"/>
    </row>
    <row r="559" spans="1:12" s="185" customFormat="1" ht="15" customHeight="1" outlineLevel="1">
      <c r="A559" s="167"/>
      <c r="B559" s="170"/>
      <c r="C559" s="227"/>
      <c r="D559" s="228"/>
      <c r="E559" s="170"/>
      <c r="F559" s="170"/>
      <c r="G559" s="302"/>
      <c r="H559" s="175"/>
      <c r="I559" s="175"/>
      <c r="J559" s="301"/>
      <c r="L559" s="758"/>
    </row>
    <row r="560" spans="1:12" s="185" customFormat="1" ht="15" customHeight="1" outlineLevel="1">
      <c r="A560" s="167"/>
      <c r="B560" s="165" t="s">
        <v>160</v>
      </c>
      <c r="C560" s="168" t="s">
        <v>161</v>
      </c>
      <c r="D560" s="169"/>
      <c r="E560" s="171"/>
      <c r="F560" s="171"/>
      <c r="G560" s="293"/>
      <c r="H560" s="175"/>
      <c r="I560" s="175">
        <f>I558+I555+I552</f>
        <v>265825</v>
      </c>
      <c r="J560" s="301"/>
      <c r="L560" s="758"/>
    </row>
    <row r="561" spans="1:12" s="185" customFormat="1" ht="15" customHeight="1" outlineLevel="1">
      <c r="A561" s="167"/>
      <c r="B561" s="165" t="s">
        <v>162</v>
      </c>
      <c r="C561" s="168" t="s">
        <v>82</v>
      </c>
      <c r="D561" s="169"/>
      <c r="E561" s="194"/>
      <c r="F561" s="179"/>
      <c r="G561" s="180">
        <f>$J$3</f>
        <v>0.15</v>
      </c>
      <c r="H561" s="171"/>
      <c r="I561" s="175">
        <f>I560*G561</f>
        <v>39873.75</v>
      </c>
      <c r="J561" s="172"/>
      <c r="L561" s="758"/>
    </row>
    <row r="562" spans="1:12" s="185" customFormat="1" ht="15" customHeight="1" outlineLevel="1">
      <c r="A562" s="167"/>
      <c r="B562" s="165" t="s">
        <v>163</v>
      </c>
      <c r="C562" s="168" t="s">
        <v>164</v>
      </c>
      <c r="D562" s="169"/>
      <c r="E562" s="171"/>
      <c r="F562" s="171"/>
      <c r="G562" s="293"/>
      <c r="H562" s="291"/>
      <c r="I562" s="175">
        <f>I560+I561</f>
        <v>305698.75</v>
      </c>
      <c r="J562" s="301"/>
      <c r="L562" s="758"/>
    </row>
    <row r="563" spans="1:12" outlineLevel="1">
      <c r="B563" s="184"/>
      <c r="D563" s="186"/>
      <c r="E563" s="186"/>
      <c r="F563" s="186"/>
      <c r="G563" s="184"/>
      <c r="H563" s="204"/>
      <c r="I563" s="204"/>
    </row>
    <row r="564" spans="1:12" s="185" customFormat="1" ht="15" customHeight="1">
      <c r="A564" s="167" t="str">
        <f>B564</f>
        <v>A.4.6.2.5</v>
      </c>
      <c r="B564" s="159" t="s">
        <v>256</v>
      </c>
      <c r="D564" s="167" t="s">
        <v>257</v>
      </c>
      <c r="E564" s="270"/>
      <c r="F564" s="270"/>
      <c r="G564" s="299"/>
      <c r="J564" s="172">
        <f>I581</f>
        <v>94889.375</v>
      </c>
      <c r="L564" s="758"/>
    </row>
    <row r="565" spans="1:12" s="185" customFormat="1" ht="31.2" outlineLevel="1">
      <c r="A565" s="167"/>
      <c r="B565" s="205" t="s">
        <v>75</v>
      </c>
      <c r="C565" s="340" t="s">
        <v>140</v>
      </c>
      <c r="D565" s="341"/>
      <c r="E565" s="164" t="s">
        <v>141</v>
      </c>
      <c r="F565" s="164" t="s">
        <v>142</v>
      </c>
      <c r="G565" s="300" t="s">
        <v>143</v>
      </c>
      <c r="H565" s="165" t="s">
        <v>144</v>
      </c>
      <c r="I565" s="165" t="s">
        <v>145</v>
      </c>
      <c r="J565" s="301"/>
      <c r="L565" s="758"/>
    </row>
    <row r="566" spans="1:12" s="185" customFormat="1" ht="15" customHeight="1" outlineLevel="1">
      <c r="A566" s="167"/>
      <c r="B566" s="165" t="s">
        <v>146</v>
      </c>
      <c r="C566" s="168" t="s">
        <v>147</v>
      </c>
      <c r="D566" s="169"/>
      <c r="E566" s="170"/>
      <c r="F566" s="170"/>
      <c r="G566" s="302"/>
      <c r="H566" s="171"/>
      <c r="I566" s="171"/>
      <c r="J566" s="301"/>
      <c r="L566" s="758"/>
    </row>
    <row r="567" spans="1:12" s="185" customFormat="1" ht="15" customHeight="1" outlineLevel="1">
      <c r="A567" s="167"/>
      <c r="B567" s="165"/>
      <c r="C567" s="168" t="s">
        <v>77</v>
      </c>
      <c r="D567" s="169"/>
      <c r="E567" s="165" t="s">
        <v>148</v>
      </c>
      <c r="F567" s="165" t="s">
        <v>76</v>
      </c>
      <c r="G567" s="293">
        <v>0.1</v>
      </c>
      <c r="H567" s="174">
        <f>VLOOKUP(C567,'UPAH-BAHAN'!D:F,2,0)</f>
        <v>120000</v>
      </c>
      <c r="I567" s="175">
        <f>G567*H567</f>
        <v>12000</v>
      </c>
      <c r="J567" s="301"/>
      <c r="L567" s="758"/>
    </row>
    <row r="568" spans="1:12" s="185" customFormat="1" ht="15" customHeight="1" outlineLevel="1">
      <c r="A568" s="167"/>
      <c r="B568" s="165"/>
      <c r="C568" s="168" t="s">
        <v>97</v>
      </c>
      <c r="D568" s="169"/>
      <c r="E568" s="165" t="s">
        <v>149</v>
      </c>
      <c r="F568" s="165" t="s">
        <v>76</v>
      </c>
      <c r="G568" s="293">
        <v>0.2</v>
      </c>
      <c r="H568" s="174">
        <f>VLOOKUP(C568,'UPAH-BAHAN'!D:F,2,0)</f>
        <v>160000</v>
      </c>
      <c r="I568" s="175">
        <f>G568*H568</f>
        <v>32000</v>
      </c>
      <c r="J568" s="301"/>
      <c r="L568" s="758"/>
    </row>
    <row r="569" spans="1:12" s="185" customFormat="1" ht="15" customHeight="1" outlineLevel="1">
      <c r="A569" s="167"/>
      <c r="B569" s="165"/>
      <c r="C569" s="168" t="s">
        <v>99</v>
      </c>
      <c r="D569" s="169"/>
      <c r="E569" s="165" t="s">
        <v>150</v>
      </c>
      <c r="F569" s="165" t="s">
        <v>76</v>
      </c>
      <c r="G569" s="303">
        <v>0.02</v>
      </c>
      <c r="H569" s="174">
        <f>VLOOKUP(C569,'UPAH-BAHAN'!D:F,2,0)</f>
        <v>170000</v>
      </c>
      <c r="I569" s="175">
        <f>G569*H569</f>
        <v>3400</v>
      </c>
      <c r="J569" s="301"/>
      <c r="L569" s="758"/>
    </row>
    <row r="570" spans="1:12" s="185" customFormat="1" ht="15" customHeight="1" outlineLevel="1">
      <c r="A570" s="167"/>
      <c r="B570" s="165"/>
      <c r="C570" s="168" t="s">
        <v>80</v>
      </c>
      <c r="D570" s="169"/>
      <c r="E570" s="165" t="s">
        <v>151</v>
      </c>
      <c r="F570" s="165" t="s">
        <v>76</v>
      </c>
      <c r="G570" s="293">
        <v>5.0000000000000001E-4</v>
      </c>
      <c r="H570" s="174">
        <f>VLOOKUP(C570,'UPAH-BAHAN'!D:F,2,0)</f>
        <v>225000</v>
      </c>
      <c r="I570" s="175">
        <f>G570*H570</f>
        <v>112.5</v>
      </c>
      <c r="J570" s="301"/>
      <c r="L570" s="758"/>
    </row>
    <row r="571" spans="1:12" s="185" customFormat="1" ht="15" customHeight="1" outlineLevel="1">
      <c r="A571" s="167"/>
      <c r="B571" s="165"/>
      <c r="C571" s="168"/>
      <c r="D571" s="169"/>
      <c r="E571" s="170"/>
      <c r="F571" s="170"/>
      <c r="G571" s="303" t="s">
        <v>171</v>
      </c>
      <c r="H571" s="177"/>
      <c r="I571" s="175">
        <f>SUM(I567:I570)</f>
        <v>47512.5</v>
      </c>
      <c r="J571" s="301"/>
      <c r="L571" s="758"/>
    </row>
    <row r="572" spans="1:12" s="185" customFormat="1" ht="15" customHeight="1" outlineLevel="1">
      <c r="A572" s="167"/>
      <c r="B572" s="165" t="s">
        <v>153</v>
      </c>
      <c r="C572" s="168" t="s">
        <v>154</v>
      </c>
      <c r="D572" s="169"/>
      <c r="E572" s="170"/>
      <c r="F572" s="170"/>
      <c r="G572" s="303"/>
      <c r="H572" s="175"/>
      <c r="I572" s="175"/>
      <c r="J572" s="301"/>
      <c r="L572" s="758"/>
    </row>
    <row r="573" spans="1:12" s="185" customFormat="1" ht="15" customHeight="1" outlineLevel="1">
      <c r="A573" s="167"/>
      <c r="B573" s="165"/>
      <c r="C573" s="168" t="s">
        <v>258</v>
      </c>
      <c r="D573" s="169"/>
      <c r="E573" s="170"/>
      <c r="F573" s="165" t="s">
        <v>23</v>
      </c>
      <c r="G573" s="293">
        <v>1</v>
      </c>
      <c r="H573" s="174">
        <f>VLOOKUP(C573,'UPAH-BAHAN'!D:F,2,0)</f>
        <v>35000</v>
      </c>
      <c r="I573" s="175">
        <f>G573*H573</f>
        <v>35000</v>
      </c>
      <c r="J573" s="301"/>
      <c r="L573" s="758"/>
    </row>
    <row r="574" spans="1:12" s="185" customFormat="1" ht="15" customHeight="1" outlineLevel="1">
      <c r="A574" s="167"/>
      <c r="B574" s="165"/>
      <c r="C574" s="168"/>
      <c r="D574" s="169"/>
      <c r="E574" s="170"/>
      <c r="F574" s="170"/>
      <c r="G574" s="303" t="s">
        <v>172</v>
      </c>
      <c r="H574" s="175"/>
      <c r="I574" s="175">
        <f>SUM(I573:I573)</f>
        <v>35000</v>
      </c>
      <c r="J574" s="301"/>
      <c r="L574" s="758"/>
    </row>
    <row r="575" spans="1:12" s="185" customFormat="1" ht="15" customHeight="1" outlineLevel="1">
      <c r="A575" s="167"/>
      <c r="B575" s="165" t="s">
        <v>157</v>
      </c>
      <c r="C575" s="168" t="s">
        <v>158</v>
      </c>
      <c r="D575" s="169"/>
      <c r="E575" s="170"/>
      <c r="F575" s="170"/>
      <c r="G575" s="302"/>
      <c r="H575" s="175"/>
      <c r="I575" s="175"/>
      <c r="J575" s="301"/>
      <c r="L575" s="758"/>
    </row>
    <row r="576" spans="1:12" s="185" customFormat="1" ht="15" customHeight="1" outlineLevel="1">
      <c r="A576" s="167"/>
      <c r="B576" s="165"/>
      <c r="C576" s="168"/>
      <c r="D576" s="169"/>
      <c r="E576" s="170"/>
      <c r="F576" s="170"/>
      <c r="G576" s="302"/>
      <c r="H576" s="175"/>
      <c r="I576" s="175"/>
      <c r="J576" s="301"/>
      <c r="L576" s="758"/>
    </row>
    <row r="577" spans="1:12" s="185" customFormat="1" ht="15" customHeight="1" outlineLevel="1">
      <c r="A577" s="167"/>
      <c r="B577" s="165"/>
      <c r="C577" s="176"/>
      <c r="D577" s="169"/>
      <c r="E577" s="170"/>
      <c r="F577" s="170"/>
      <c r="G577" s="303" t="s">
        <v>159</v>
      </c>
      <c r="H577" s="175"/>
      <c r="I577" s="175">
        <f>I576</f>
        <v>0</v>
      </c>
      <c r="J577" s="301"/>
      <c r="L577" s="758"/>
    </row>
    <row r="578" spans="1:12" s="185" customFormat="1" ht="15" customHeight="1" outlineLevel="1">
      <c r="A578" s="167"/>
      <c r="B578" s="170"/>
      <c r="C578" s="227"/>
      <c r="D578" s="228"/>
      <c r="E578" s="170"/>
      <c r="F578" s="170"/>
      <c r="G578" s="302"/>
      <c r="H578" s="175"/>
      <c r="I578" s="175"/>
      <c r="J578" s="301"/>
      <c r="L578" s="758"/>
    </row>
    <row r="579" spans="1:12" s="185" customFormat="1" ht="15" customHeight="1" outlineLevel="1">
      <c r="A579" s="167"/>
      <c r="B579" s="165" t="s">
        <v>160</v>
      </c>
      <c r="C579" s="168" t="s">
        <v>161</v>
      </c>
      <c r="D579" s="169"/>
      <c r="E579" s="171"/>
      <c r="F579" s="171"/>
      <c r="G579" s="293"/>
      <c r="H579" s="175"/>
      <c r="I579" s="175">
        <f>I577+I574+I571</f>
        <v>82512.5</v>
      </c>
      <c r="J579" s="301"/>
      <c r="L579" s="758"/>
    </row>
    <row r="580" spans="1:12" s="185" customFormat="1" ht="15" customHeight="1" outlineLevel="1">
      <c r="A580" s="167"/>
      <c r="B580" s="165" t="s">
        <v>162</v>
      </c>
      <c r="C580" s="168" t="s">
        <v>82</v>
      </c>
      <c r="D580" s="169"/>
      <c r="E580" s="194"/>
      <c r="F580" s="179"/>
      <c r="G580" s="180">
        <f>$J$3</f>
        <v>0.15</v>
      </c>
      <c r="H580" s="171"/>
      <c r="I580" s="175">
        <f>I579*G580</f>
        <v>12376.875</v>
      </c>
      <c r="J580" s="172"/>
      <c r="L580" s="758"/>
    </row>
    <row r="581" spans="1:12" s="185" customFormat="1" ht="15" customHeight="1" outlineLevel="1">
      <c r="A581" s="167"/>
      <c r="B581" s="165" t="s">
        <v>163</v>
      </c>
      <c r="C581" s="168" t="s">
        <v>164</v>
      </c>
      <c r="D581" s="169"/>
      <c r="E581" s="171"/>
      <c r="F581" s="171"/>
      <c r="G581" s="293"/>
      <c r="H581" s="291"/>
      <c r="I581" s="175">
        <f>I579+I580</f>
        <v>94889.375</v>
      </c>
      <c r="J581" s="301"/>
      <c r="L581" s="758"/>
    </row>
    <row r="582" spans="1:12" outlineLevel="1">
      <c r="B582" s="184"/>
      <c r="D582" s="186"/>
      <c r="E582" s="186"/>
      <c r="F582" s="186"/>
      <c r="G582" s="184"/>
      <c r="H582" s="204"/>
      <c r="I582" s="204"/>
    </row>
    <row r="583" spans="1:12" s="185" customFormat="1" ht="15" customHeight="1">
      <c r="A583" s="167" t="str">
        <f>B583</f>
        <v>A.4.6.2.7</v>
      </c>
      <c r="B583" s="159" t="s">
        <v>259</v>
      </c>
      <c r="D583" s="167" t="s">
        <v>260</v>
      </c>
      <c r="E583" s="270"/>
      <c r="F583" s="270"/>
      <c r="G583" s="299"/>
      <c r="J583" s="172">
        <f>I600</f>
        <v>83389.375</v>
      </c>
      <c r="L583" s="758"/>
    </row>
    <row r="584" spans="1:12" s="185" customFormat="1" ht="31.2" outlineLevel="1">
      <c r="A584" s="167"/>
      <c r="B584" s="205" t="s">
        <v>75</v>
      </c>
      <c r="C584" s="340" t="s">
        <v>140</v>
      </c>
      <c r="D584" s="341"/>
      <c r="E584" s="164" t="s">
        <v>141</v>
      </c>
      <c r="F584" s="164" t="s">
        <v>142</v>
      </c>
      <c r="G584" s="300" t="s">
        <v>143</v>
      </c>
      <c r="H584" s="165" t="s">
        <v>144</v>
      </c>
      <c r="I584" s="165" t="s">
        <v>145</v>
      </c>
      <c r="J584" s="301"/>
      <c r="L584" s="758"/>
    </row>
    <row r="585" spans="1:12" s="185" customFormat="1" ht="15" customHeight="1" outlineLevel="1">
      <c r="A585" s="167"/>
      <c r="B585" s="165" t="s">
        <v>146</v>
      </c>
      <c r="C585" s="168" t="s">
        <v>147</v>
      </c>
      <c r="D585" s="169"/>
      <c r="E585" s="170"/>
      <c r="F585" s="170"/>
      <c r="G585" s="302"/>
      <c r="H585" s="171"/>
      <c r="I585" s="171"/>
      <c r="J585" s="301"/>
      <c r="L585" s="758"/>
    </row>
    <row r="586" spans="1:12" s="185" customFormat="1" ht="15" customHeight="1" outlineLevel="1">
      <c r="A586" s="167"/>
      <c r="B586" s="165"/>
      <c r="C586" s="168" t="s">
        <v>77</v>
      </c>
      <c r="D586" s="169"/>
      <c r="E586" s="165" t="s">
        <v>148</v>
      </c>
      <c r="F586" s="165" t="s">
        <v>76</v>
      </c>
      <c r="G586" s="293">
        <v>0.1</v>
      </c>
      <c r="H586" s="174">
        <f>VLOOKUP(C586,'UPAH-BAHAN'!D:F,2,0)</f>
        <v>120000</v>
      </c>
      <c r="I586" s="175">
        <f>G586*H586</f>
        <v>12000</v>
      </c>
      <c r="J586" s="301"/>
      <c r="L586" s="758"/>
    </row>
    <row r="587" spans="1:12" s="185" customFormat="1" ht="15" customHeight="1" outlineLevel="1">
      <c r="A587" s="167"/>
      <c r="B587" s="165"/>
      <c r="C587" s="168" t="s">
        <v>97</v>
      </c>
      <c r="D587" s="169"/>
      <c r="E587" s="165" t="s">
        <v>149</v>
      </c>
      <c r="F587" s="165" t="s">
        <v>76</v>
      </c>
      <c r="G587" s="293">
        <v>0.2</v>
      </c>
      <c r="H587" s="174">
        <f>VLOOKUP(C587,'UPAH-BAHAN'!D:F,2,0)</f>
        <v>160000</v>
      </c>
      <c r="I587" s="175">
        <f>G587*H587</f>
        <v>32000</v>
      </c>
      <c r="J587" s="301"/>
      <c r="L587" s="758"/>
    </row>
    <row r="588" spans="1:12" s="185" customFormat="1" ht="15" customHeight="1" outlineLevel="1">
      <c r="A588" s="167"/>
      <c r="B588" s="165"/>
      <c r="C588" s="168" t="s">
        <v>99</v>
      </c>
      <c r="D588" s="169"/>
      <c r="E588" s="165" t="s">
        <v>150</v>
      </c>
      <c r="F588" s="165" t="s">
        <v>76</v>
      </c>
      <c r="G588" s="303">
        <v>0.02</v>
      </c>
      <c r="H588" s="174">
        <f>VLOOKUP(C588,'UPAH-BAHAN'!D:F,2,0)</f>
        <v>170000</v>
      </c>
      <c r="I588" s="175">
        <f>G588*H588</f>
        <v>3400</v>
      </c>
      <c r="J588" s="301"/>
      <c r="L588" s="758"/>
    </row>
    <row r="589" spans="1:12" s="185" customFormat="1" ht="15" customHeight="1" outlineLevel="1">
      <c r="A589" s="167"/>
      <c r="B589" s="165"/>
      <c r="C589" s="168" t="s">
        <v>80</v>
      </c>
      <c r="D589" s="169"/>
      <c r="E589" s="165" t="s">
        <v>151</v>
      </c>
      <c r="F589" s="165" t="s">
        <v>76</v>
      </c>
      <c r="G589" s="293">
        <v>5.0000000000000001E-4</v>
      </c>
      <c r="H589" s="174">
        <f>VLOOKUP(C589,'UPAH-BAHAN'!D:F,2,0)</f>
        <v>225000</v>
      </c>
      <c r="I589" s="175">
        <f>G589*H589</f>
        <v>112.5</v>
      </c>
      <c r="J589" s="301"/>
      <c r="L589" s="758"/>
    </row>
    <row r="590" spans="1:12" s="185" customFormat="1" ht="15" customHeight="1" outlineLevel="1">
      <c r="A590" s="167"/>
      <c r="B590" s="165"/>
      <c r="C590" s="168"/>
      <c r="D590" s="169"/>
      <c r="E590" s="170"/>
      <c r="F590" s="170"/>
      <c r="G590" s="303" t="s">
        <v>171</v>
      </c>
      <c r="H590" s="177"/>
      <c r="I590" s="175">
        <f>SUM(I586:I589)</f>
        <v>47512.5</v>
      </c>
      <c r="J590" s="301"/>
      <c r="L590" s="758"/>
    </row>
    <row r="591" spans="1:12" s="185" customFormat="1" ht="15" customHeight="1" outlineLevel="1">
      <c r="A591" s="167"/>
      <c r="B591" s="165" t="s">
        <v>153</v>
      </c>
      <c r="C591" s="168" t="s">
        <v>154</v>
      </c>
      <c r="D591" s="169"/>
      <c r="E591" s="170"/>
      <c r="F591" s="170"/>
      <c r="G591" s="303"/>
      <c r="H591" s="175"/>
      <c r="I591" s="175"/>
      <c r="J591" s="301"/>
      <c r="L591" s="758"/>
    </row>
    <row r="592" spans="1:12" s="185" customFormat="1" ht="15" customHeight="1" outlineLevel="1">
      <c r="A592" s="167"/>
      <c r="B592" s="165"/>
      <c r="C592" s="168" t="s">
        <v>261</v>
      </c>
      <c r="D592" s="169"/>
      <c r="E592" s="170"/>
      <c r="F592" s="165" t="s">
        <v>23</v>
      </c>
      <c r="G592" s="293">
        <v>1</v>
      </c>
      <c r="H592" s="174">
        <f>VLOOKUP(C592,'UPAH-BAHAN'!D:F,2,0)</f>
        <v>25000</v>
      </c>
      <c r="I592" s="175">
        <f>G592*H592</f>
        <v>25000</v>
      </c>
      <c r="J592" s="301"/>
      <c r="L592" s="758"/>
    </row>
    <row r="593" spans="1:12" s="185" customFormat="1" ht="15" customHeight="1" outlineLevel="1">
      <c r="A593" s="167"/>
      <c r="B593" s="165"/>
      <c r="C593" s="168"/>
      <c r="D593" s="169"/>
      <c r="E593" s="170"/>
      <c r="F593" s="170"/>
      <c r="G593" s="303" t="s">
        <v>172</v>
      </c>
      <c r="H593" s="175"/>
      <c r="I593" s="175">
        <f>SUM(I592:I592)</f>
        <v>25000</v>
      </c>
      <c r="J593" s="301"/>
      <c r="L593" s="758"/>
    </row>
    <row r="594" spans="1:12" s="185" customFormat="1" ht="15" customHeight="1" outlineLevel="1">
      <c r="A594" s="167"/>
      <c r="B594" s="165" t="s">
        <v>157</v>
      </c>
      <c r="C594" s="168" t="s">
        <v>158</v>
      </c>
      <c r="D594" s="169"/>
      <c r="E594" s="170"/>
      <c r="F594" s="170"/>
      <c r="G594" s="302"/>
      <c r="H594" s="175"/>
      <c r="I594" s="175"/>
      <c r="J594" s="301"/>
      <c r="L594" s="758"/>
    </row>
    <row r="595" spans="1:12" s="185" customFormat="1" ht="15" customHeight="1" outlineLevel="1">
      <c r="A595" s="167"/>
      <c r="B595" s="165"/>
      <c r="C595" s="168"/>
      <c r="D595" s="169"/>
      <c r="E595" s="170"/>
      <c r="F595" s="170"/>
      <c r="G595" s="302"/>
      <c r="H595" s="175"/>
      <c r="I595" s="175"/>
      <c r="J595" s="301"/>
      <c r="L595" s="758"/>
    </row>
    <row r="596" spans="1:12" s="185" customFormat="1" ht="15" customHeight="1" outlineLevel="1">
      <c r="A596" s="167"/>
      <c r="B596" s="165"/>
      <c r="C596" s="176"/>
      <c r="D596" s="169"/>
      <c r="E596" s="170"/>
      <c r="F596" s="170"/>
      <c r="G596" s="303" t="s">
        <v>159</v>
      </c>
      <c r="H596" s="175"/>
      <c r="I596" s="175">
        <f>I595</f>
        <v>0</v>
      </c>
      <c r="J596" s="301"/>
      <c r="L596" s="758"/>
    </row>
    <row r="597" spans="1:12" s="185" customFormat="1" ht="15" customHeight="1" outlineLevel="1">
      <c r="A597" s="167"/>
      <c r="B597" s="170"/>
      <c r="C597" s="227"/>
      <c r="D597" s="228"/>
      <c r="E597" s="170"/>
      <c r="F597" s="170"/>
      <c r="G597" s="302"/>
      <c r="H597" s="175"/>
      <c r="I597" s="175"/>
      <c r="J597" s="301"/>
      <c r="L597" s="758"/>
    </row>
    <row r="598" spans="1:12" s="185" customFormat="1" ht="15" customHeight="1" outlineLevel="1">
      <c r="A598" s="167"/>
      <c r="B598" s="165" t="s">
        <v>160</v>
      </c>
      <c r="C598" s="168" t="s">
        <v>161</v>
      </c>
      <c r="D598" s="169"/>
      <c r="E598" s="171"/>
      <c r="F598" s="171"/>
      <c r="G598" s="293"/>
      <c r="H598" s="175"/>
      <c r="I598" s="175">
        <f>I596+I593+I590</f>
        <v>72512.5</v>
      </c>
      <c r="J598" s="301"/>
      <c r="L598" s="758"/>
    </row>
    <row r="599" spans="1:12" s="185" customFormat="1" ht="15" customHeight="1" outlineLevel="1">
      <c r="A599" s="167"/>
      <c r="B599" s="165" t="s">
        <v>162</v>
      </c>
      <c r="C599" s="168" t="s">
        <v>82</v>
      </c>
      <c r="D599" s="169"/>
      <c r="E599" s="194"/>
      <c r="F599" s="179"/>
      <c r="G599" s="180">
        <f>$J$3</f>
        <v>0.15</v>
      </c>
      <c r="H599" s="171"/>
      <c r="I599" s="175">
        <f>I598*G599</f>
        <v>10876.875</v>
      </c>
      <c r="J599" s="172"/>
      <c r="L599" s="758"/>
    </row>
    <row r="600" spans="1:12" s="185" customFormat="1" ht="15" customHeight="1" outlineLevel="1">
      <c r="A600" s="167"/>
      <c r="B600" s="165" t="s">
        <v>163</v>
      </c>
      <c r="C600" s="168" t="s">
        <v>164</v>
      </c>
      <c r="D600" s="169"/>
      <c r="E600" s="171"/>
      <c r="F600" s="171"/>
      <c r="G600" s="293"/>
      <c r="H600" s="291"/>
      <c r="I600" s="175">
        <f>I598+I599</f>
        <v>83389.375</v>
      </c>
      <c r="J600" s="301"/>
      <c r="L600" s="758"/>
    </row>
    <row r="601" spans="1:12" outlineLevel="1">
      <c r="B601" s="184"/>
      <c r="D601" s="186"/>
      <c r="E601" s="186"/>
      <c r="F601" s="186"/>
      <c r="G601" s="184"/>
      <c r="H601" s="204"/>
      <c r="I601" s="204"/>
    </row>
    <row r="602" spans="1:12" s="185" customFormat="1" ht="15" customHeight="1">
      <c r="A602" s="167" t="str">
        <f>B602</f>
        <v>A.4.6.2.8</v>
      </c>
      <c r="B602" s="159" t="s">
        <v>856</v>
      </c>
      <c r="D602" s="167" t="s">
        <v>855</v>
      </c>
      <c r="E602" s="270"/>
      <c r="F602" s="270"/>
      <c r="G602" s="299"/>
      <c r="J602" s="172">
        <f>I619</f>
        <v>112714.375</v>
      </c>
      <c r="L602" s="758"/>
    </row>
    <row r="603" spans="1:12" s="185" customFormat="1" ht="31.2" outlineLevel="1">
      <c r="A603" s="167"/>
      <c r="B603" s="205" t="s">
        <v>75</v>
      </c>
      <c r="C603" s="340" t="s">
        <v>140</v>
      </c>
      <c r="D603" s="341"/>
      <c r="E603" s="164" t="s">
        <v>141</v>
      </c>
      <c r="F603" s="164" t="s">
        <v>142</v>
      </c>
      <c r="G603" s="300" t="s">
        <v>143</v>
      </c>
      <c r="H603" s="165" t="s">
        <v>144</v>
      </c>
      <c r="I603" s="165" t="s">
        <v>145</v>
      </c>
      <c r="J603" s="301"/>
      <c r="L603" s="758"/>
    </row>
    <row r="604" spans="1:12" s="185" customFormat="1" ht="15" customHeight="1" outlineLevel="1">
      <c r="A604" s="167"/>
      <c r="B604" s="165" t="s">
        <v>146</v>
      </c>
      <c r="C604" s="168" t="s">
        <v>147</v>
      </c>
      <c r="D604" s="169"/>
      <c r="E604" s="170"/>
      <c r="F604" s="170"/>
      <c r="G604" s="302"/>
      <c r="H604" s="171"/>
      <c r="I604" s="171"/>
      <c r="J604" s="301"/>
      <c r="L604" s="758"/>
    </row>
    <row r="605" spans="1:12" s="185" customFormat="1" ht="15" customHeight="1" outlineLevel="1">
      <c r="A605" s="167"/>
      <c r="B605" s="165"/>
      <c r="C605" s="168" t="s">
        <v>77</v>
      </c>
      <c r="D605" s="169"/>
      <c r="E605" s="165" t="s">
        <v>148</v>
      </c>
      <c r="F605" s="165" t="s">
        <v>76</v>
      </c>
      <c r="G605" s="293">
        <v>0.15</v>
      </c>
      <c r="H605" s="174">
        <f>VLOOKUP(C605,'UPAH-BAHAN'!D:F,2,0)</f>
        <v>120000</v>
      </c>
      <c r="I605" s="175">
        <f>G605*H605</f>
        <v>18000</v>
      </c>
      <c r="J605" s="301"/>
      <c r="L605" s="758"/>
    </row>
    <row r="606" spans="1:12" s="185" customFormat="1" ht="15" customHeight="1" outlineLevel="1">
      <c r="A606" s="167"/>
      <c r="B606" s="165"/>
      <c r="C606" s="168" t="s">
        <v>97</v>
      </c>
      <c r="D606" s="169"/>
      <c r="E606" s="165" t="s">
        <v>149</v>
      </c>
      <c r="F606" s="165" t="s">
        <v>76</v>
      </c>
      <c r="G606" s="293">
        <v>0.25</v>
      </c>
      <c r="H606" s="174">
        <f>VLOOKUP(C606,'UPAH-BAHAN'!D:F,2,0)</f>
        <v>160000</v>
      </c>
      <c r="I606" s="175">
        <f>G606*H606</f>
        <v>40000</v>
      </c>
      <c r="J606" s="301"/>
      <c r="L606" s="758"/>
    </row>
    <row r="607" spans="1:12" s="185" customFormat="1" ht="15" customHeight="1" outlineLevel="1">
      <c r="A607" s="167"/>
      <c r="B607" s="165"/>
      <c r="C607" s="168" t="s">
        <v>99</v>
      </c>
      <c r="D607" s="169"/>
      <c r="E607" s="165" t="s">
        <v>150</v>
      </c>
      <c r="F607" s="165" t="s">
        <v>76</v>
      </c>
      <c r="G607" s="303">
        <v>2.5000000000000001E-2</v>
      </c>
      <c r="H607" s="174">
        <f>VLOOKUP(C607,'UPAH-BAHAN'!D:F,2,0)</f>
        <v>170000</v>
      </c>
      <c r="I607" s="175">
        <f>G607*H607</f>
        <v>4250</v>
      </c>
      <c r="J607" s="301"/>
      <c r="L607" s="758"/>
    </row>
    <row r="608" spans="1:12" s="185" customFormat="1" ht="15" customHeight="1" outlineLevel="1">
      <c r="A608" s="167"/>
      <c r="B608" s="165"/>
      <c r="C608" s="168" t="s">
        <v>80</v>
      </c>
      <c r="D608" s="169"/>
      <c r="E608" s="165" t="s">
        <v>151</v>
      </c>
      <c r="F608" s="165" t="s">
        <v>76</v>
      </c>
      <c r="G608" s="293">
        <v>5.0000000000000001E-4</v>
      </c>
      <c r="H608" s="174">
        <f>VLOOKUP(C608,'UPAH-BAHAN'!D:F,2,0)</f>
        <v>225000</v>
      </c>
      <c r="I608" s="175">
        <f>G608*H608</f>
        <v>112.5</v>
      </c>
      <c r="J608" s="301"/>
      <c r="L608" s="758"/>
    </row>
    <row r="609" spans="1:12" s="185" customFormat="1" ht="15" customHeight="1" outlineLevel="1">
      <c r="A609" s="167"/>
      <c r="B609" s="165"/>
      <c r="C609" s="168"/>
      <c r="D609" s="169"/>
      <c r="E609" s="170"/>
      <c r="F609" s="170"/>
      <c r="G609" s="303" t="s">
        <v>171</v>
      </c>
      <c r="H609" s="177"/>
      <c r="I609" s="175">
        <f>SUM(I605:I608)</f>
        <v>62362.5</v>
      </c>
      <c r="J609" s="301"/>
      <c r="L609" s="758"/>
    </row>
    <row r="610" spans="1:12" s="185" customFormat="1" ht="15" customHeight="1" outlineLevel="1">
      <c r="A610" s="167"/>
      <c r="B610" s="165" t="s">
        <v>153</v>
      </c>
      <c r="C610" s="168" t="s">
        <v>154</v>
      </c>
      <c r="D610" s="169"/>
      <c r="E610" s="170"/>
      <c r="F610" s="170"/>
      <c r="G610" s="303"/>
      <c r="H610" s="175"/>
      <c r="I610" s="175"/>
      <c r="J610" s="301"/>
      <c r="L610" s="758"/>
    </row>
    <row r="611" spans="1:12" s="185" customFormat="1" ht="15" customHeight="1" outlineLevel="1">
      <c r="A611" s="167"/>
      <c r="B611" s="165"/>
      <c r="C611" s="168" t="s">
        <v>858</v>
      </c>
      <c r="D611" s="169"/>
      <c r="E611" s="170"/>
      <c r="F611" s="165" t="s">
        <v>23</v>
      </c>
      <c r="G611" s="293">
        <v>1</v>
      </c>
      <c r="H611" s="174">
        <f>VLOOKUP(C611,'UPAH-BAHAN'!D:F,2,0)</f>
        <v>35650</v>
      </c>
      <c r="I611" s="175">
        <f>G611*H611</f>
        <v>35650</v>
      </c>
      <c r="J611" s="301"/>
      <c r="L611" s="758"/>
    </row>
    <row r="612" spans="1:12" s="185" customFormat="1" ht="15" customHeight="1" outlineLevel="1">
      <c r="A612" s="167"/>
      <c r="B612" s="165"/>
      <c r="C612" s="168"/>
      <c r="D612" s="169"/>
      <c r="E612" s="170"/>
      <c r="F612" s="170"/>
      <c r="G612" s="303" t="s">
        <v>172</v>
      </c>
      <c r="H612" s="175"/>
      <c r="I612" s="175">
        <f>SUM(I611:I611)</f>
        <v>35650</v>
      </c>
      <c r="J612" s="301"/>
      <c r="L612" s="758"/>
    </row>
    <row r="613" spans="1:12" s="185" customFormat="1" ht="15" customHeight="1" outlineLevel="1">
      <c r="A613" s="167"/>
      <c r="B613" s="165" t="s">
        <v>157</v>
      </c>
      <c r="C613" s="168" t="s">
        <v>158</v>
      </c>
      <c r="D613" s="169"/>
      <c r="E613" s="170"/>
      <c r="F613" s="170"/>
      <c r="G613" s="302"/>
      <c r="H613" s="175"/>
      <c r="I613" s="175"/>
      <c r="J613" s="301"/>
      <c r="L613" s="758"/>
    </row>
    <row r="614" spans="1:12" s="185" customFormat="1" ht="15" customHeight="1" outlineLevel="1">
      <c r="A614" s="167"/>
      <c r="B614" s="165"/>
      <c r="C614" s="168"/>
      <c r="D614" s="169"/>
      <c r="E614" s="170"/>
      <c r="F614" s="170"/>
      <c r="G614" s="302"/>
      <c r="H614" s="175"/>
      <c r="I614" s="175"/>
      <c r="J614" s="301"/>
      <c r="L614" s="758"/>
    </row>
    <row r="615" spans="1:12" s="185" customFormat="1" ht="15" customHeight="1" outlineLevel="1">
      <c r="A615" s="167"/>
      <c r="B615" s="165"/>
      <c r="C615" s="176"/>
      <c r="D615" s="169"/>
      <c r="E615" s="170"/>
      <c r="F615" s="170"/>
      <c r="G615" s="303" t="s">
        <v>159</v>
      </c>
      <c r="H615" s="175"/>
      <c r="I615" s="175">
        <f>I614</f>
        <v>0</v>
      </c>
      <c r="J615" s="301"/>
      <c r="L615" s="758"/>
    </row>
    <row r="616" spans="1:12" s="185" customFormat="1" ht="15" customHeight="1" outlineLevel="1">
      <c r="A616" s="167"/>
      <c r="B616" s="170"/>
      <c r="C616" s="227"/>
      <c r="D616" s="228"/>
      <c r="E616" s="170"/>
      <c r="F616" s="170"/>
      <c r="G616" s="302"/>
      <c r="H616" s="175"/>
      <c r="I616" s="175"/>
      <c r="J616" s="301"/>
      <c r="L616" s="758"/>
    </row>
    <row r="617" spans="1:12" s="185" customFormat="1" ht="15" customHeight="1" outlineLevel="1">
      <c r="A617" s="167"/>
      <c r="B617" s="165" t="s">
        <v>160</v>
      </c>
      <c r="C617" s="168" t="s">
        <v>161</v>
      </c>
      <c r="D617" s="169"/>
      <c r="E617" s="171"/>
      <c r="F617" s="171"/>
      <c r="G617" s="293"/>
      <c r="H617" s="175"/>
      <c r="I617" s="175">
        <f>I615+I612+I609</f>
        <v>98012.5</v>
      </c>
      <c r="J617" s="301"/>
      <c r="L617" s="758"/>
    </row>
    <row r="618" spans="1:12" s="185" customFormat="1" ht="15" customHeight="1" outlineLevel="1">
      <c r="A618" s="167"/>
      <c r="B618" s="165" t="s">
        <v>162</v>
      </c>
      <c r="C618" s="168" t="s">
        <v>82</v>
      </c>
      <c r="D618" s="169"/>
      <c r="E618" s="194"/>
      <c r="F618" s="179"/>
      <c r="G618" s="180">
        <f>$J$3</f>
        <v>0.15</v>
      </c>
      <c r="H618" s="171"/>
      <c r="I618" s="175">
        <f>I617*G618</f>
        <v>14701.875</v>
      </c>
      <c r="J618" s="172"/>
      <c r="L618" s="758"/>
    </row>
    <row r="619" spans="1:12" s="185" customFormat="1" ht="15" customHeight="1" outlineLevel="1">
      <c r="A619" s="167"/>
      <c r="B619" s="165" t="s">
        <v>163</v>
      </c>
      <c r="C619" s="168" t="s">
        <v>164</v>
      </c>
      <c r="D619" s="169"/>
      <c r="E619" s="171"/>
      <c r="F619" s="171"/>
      <c r="G619" s="293"/>
      <c r="H619" s="291"/>
      <c r="I619" s="175">
        <f>I617+I618</f>
        <v>112714.375</v>
      </c>
      <c r="J619" s="301"/>
      <c r="L619" s="758"/>
    </row>
    <row r="620" spans="1:12" outlineLevel="1">
      <c r="B620" s="184"/>
      <c r="D620" s="186"/>
      <c r="E620" s="186"/>
      <c r="F620" s="186"/>
      <c r="G620" s="184"/>
      <c r="H620" s="204"/>
      <c r="I620" s="204"/>
    </row>
    <row r="621" spans="1:12" s="185" customFormat="1" ht="15" customHeight="1">
      <c r="A621" s="167" t="str">
        <f>B621</f>
        <v>A.4.6.2.9</v>
      </c>
      <c r="B621" s="159" t="s">
        <v>262</v>
      </c>
      <c r="D621" s="167" t="s">
        <v>263</v>
      </c>
      <c r="E621" s="270"/>
      <c r="F621" s="270"/>
      <c r="G621" s="299"/>
      <c r="J621" s="172">
        <f>I638</f>
        <v>51922.5</v>
      </c>
      <c r="L621" s="758"/>
    </row>
    <row r="622" spans="1:12" s="185" customFormat="1" ht="31.2" outlineLevel="1">
      <c r="A622" s="167"/>
      <c r="B622" s="205" t="s">
        <v>75</v>
      </c>
      <c r="C622" s="340" t="s">
        <v>140</v>
      </c>
      <c r="D622" s="341"/>
      <c r="E622" s="164" t="s">
        <v>141</v>
      </c>
      <c r="F622" s="164" t="s">
        <v>142</v>
      </c>
      <c r="G622" s="300" t="s">
        <v>143</v>
      </c>
      <c r="H622" s="165" t="s">
        <v>144</v>
      </c>
      <c r="I622" s="165" t="s">
        <v>145</v>
      </c>
      <c r="J622" s="301"/>
      <c r="L622" s="758"/>
    </row>
    <row r="623" spans="1:12" s="185" customFormat="1" ht="15" customHeight="1" outlineLevel="1">
      <c r="A623" s="167"/>
      <c r="B623" s="165" t="s">
        <v>146</v>
      </c>
      <c r="C623" s="168" t="s">
        <v>147</v>
      </c>
      <c r="D623" s="169"/>
      <c r="E623" s="170"/>
      <c r="F623" s="170"/>
      <c r="G623" s="302"/>
      <c r="H623" s="171"/>
      <c r="I623" s="171"/>
      <c r="J623" s="301"/>
      <c r="L623" s="758"/>
    </row>
    <row r="624" spans="1:12" s="185" customFormat="1" ht="15" customHeight="1" outlineLevel="1">
      <c r="A624" s="167"/>
      <c r="B624" s="165"/>
      <c r="C624" s="168" t="s">
        <v>77</v>
      </c>
      <c r="D624" s="169"/>
      <c r="E624" s="165" t="s">
        <v>148</v>
      </c>
      <c r="F624" s="165" t="s">
        <v>76</v>
      </c>
      <c r="G624" s="293">
        <v>1.4999999999999999E-2</v>
      </c>
      <c r="H624" s="174">
        <f>VLOOKUP(C624,'UPAH-BAHAN'!D:F,2,0)</f>
        <v>120000</v>
      </c>
      <c r="I624" s="175">
        <f>G624*H624</f>
        <v>1800</v>
      </c>
      <c r="J624" s="301"/>
      <c r="L624" s="758"/>
    </row>
    <row r="625" spans="1:12" s="185" customFormat="1" ht="15" customHeight="1" outlineLevel="1">
      <c r="A625" s="167"/>
      <c r="B625" s="165"/>
      <c r="C625" s="168" t="s">
        <v>97</v>
      </c>
      <c r="D625" s="169"/>
      <c r="E625" s="165" t="s">
        <v>149</v>
      </c>
      <c r="F625" s="165" t="s">
        <v>76</v>
      </c>
      <c r="G625" s="293">
        <v>0.15</v>
      </c>
      <c r="H625" s="174">
        <f>VLOOKUP(C625,'UPAH-BAHAN'!D:F,2,0)</f>
        <v>160000</v>
      </c>
      <c r="I625" s="175">
        <f>G625*H625</f>
        <v>24000</v>
      </c>
      <c r="J625" s="301"/>
      <c r="L625" s="758"/>
    </row>
    <row r="626" spans="1:12" s="185" customFormat="1" ht="15" customHeight="1" outlineLevel="1">
      <c r="A626" s="167"/>
      <c r="B626" s="165"/>
      <c r="C626" s="168" t="s">
        <v>99</v>
      </c>
      <c r="D626" s="169"/>
      <c r="E626" s="165" t="s">
        <v>150</v>
      </c>
      <c r="F626" s="165" t="s">
        <v>76</v>
      </c>
      <c r="G626" s="303">
        <v>1.4999999999999999E-2</v>
      </c>
      <c r="H626" s="174">
        <f>VLOOKUP(C626,'UPAH-BAHAN'!D:F,2,0)</f>
        <v>170000</v>
      </c>
      <c r="I626" s="175">
        <f>G626*H626</f>
        <v>2550</v>
      </c>
      <c r="J626" s="301"/>
      <c r="L626" s="758"/>
    </row>
    <row r="627" spans="1:12" s="185" customFormat="1" ht="15" customHeight="1" outlineLevel="1">
      <c r="A627" s="167"/>
      <c r="B627" s="165"/>
      <c r="C627" s="168" t="s">
        <v>80</v>
      </c>
      <c r="D627" s="169"/>
      <c r="E627" s="165" t="s">
        <v>151</v>
      </c>
      <c r="F627" s="165" t="s">
        <v>76</v>
      </c>
      <c r="G627" s="293">
        <v>8.0000000000000002E-3</v>
      </c>
      <c r="H627" s="174">
        <f>VLOOKUP(C627,'UPAH-BAHAN'!D:F,2,0)</f>
        <v>225000</v>
      </c>
      <c r="I627" s="175">
        <f>G627*H627</f>
        <v>1800</v>
      </c>
      <c r="J627" s="301"/>
      <c r="L627" s="758"/>
    </row>
    <row r="628" spans="1:12" s="185" customFormat="1" ht="15" customHeight="1" outlineLevel="1">
      <c r="A628" s="167"/>
      <c r="B628" s="165"/>
      <c r="C628" s="168"/>
      <c r="D628" s="169"/>
      <c r="E628" s="170"/>
      <c r="F628" s="170"/>
      <c r="G628" s="303" t="s">
        <v>171</v>
      </c>
      <c r="H628" s="177"/>
      <c r="I628" s="175">
        <f>SUM(I624:I627)</f>
        <v>30150</v>
      </c>
      <c r="J628" s="301"/>
      <c r="L628" s="758"/>
    </row>
    <row r="629" spans="1:12" s="185" customFormat="1" ht="15" customHeight="1" outlineLevel="1">
      <c r="A629" s="167"/>
      <c r="B629" s="165" t="s">
        <v>153</v>
      </c>
      <c r="C629" s="168" t="s">
        <v>154</v>
      </c>
      <c r="D629" s="169"/>
      <c r="E629" s="170"/>
      <c r="F629" s="170"/>
      <c r="G629" s="303"/>
      <c r="H629" s="175"/>
      <c r="I629" s="175"/>
      <c r="J629" s="301"/>
      <c r="L629" s="758"/>
    </row>
    <row r="630" spans="1:12" s="185" customFormat="1" ht="15" customHeight="1" outlineLevel="1">
      <c r="A630" s="167"/>
      <c r="B630" s="165"/>
      <c r="C630" s="168" t="s">
        <v>264</v>
      </c>
      <c r="D630" s="169"/>
      <c r="E630" s="170"/>
      <c r="F630" s="165" t="s">
        <v>23</v>
      </c>
      <c r="G630" s="293">
        <v>1</v>
      </c>
      <c r="H630" s="174">
        <f>VLOOKUP(C630,'UPAH-BAHAN'!D:F,2,0)</f>
        <v>15000</v>
      </c>
      <c r="I630" s="175">
        <f>G630*H630</f>
        <v>15000</v>
      </c>
      <c r="J630" s="301"/>
      <c r="L630" s="758"/>
    </row>
    <row r="631" spans="1:12" s="185" customFormat="1" ht="15" customHeight="1" outlineLevel="1">
      <c r="A631" s="167"/>
      <c r="B631" s="165"/>
      <c r="C631" s="168"/>
      <c r="D631" s="169"/>
      <c r="E631" s="170"/>
      <c r="F631" s="170"/>
      <c r="G631" s="303" t="s">
        <v>172</v>
      </c>
      <c r="H631" s="175"/>
      <c r="I631" s="175">
        <f>SUM(I630:I630)</f>
        <v>15000</v>
      </c>
      <c r="J631" s="301"/>
      <c r="L631" s="758"/>
    </row>
    <row r="632" spans="1:12" s="185" customFormat="1" ht="15" customHeight="1" outlineLevel="1">
      <c r="A632" s="167"/>
      <c r="B632" s="165" t="s">
        <v>157</v>
      </c>
      <c r="C632" s="168" t="s">
        <v>158</v>
      </c>
      <c r="D632" s="169"/>
      <c r="E632" s="170"/>
      <c r="F632" s="170"/>
      <c r="G632" s="302"/>
      <c r="H632" s="175"/>
      <c r="I632" s="175"/>
      <c r="J632" s="301"/>
      <c r="L632" s="758"/>
    </row>
    <row r="633" spans="1:12" s="185" customFormat="1" ht="15" customHeight="1" outlineLevel="1">
      <c r="A633" s="167"/>
      <c r="B633" s="165"/>
      <c r="C633" s="168"/>
      <c r="D633" s="169"/>
      <c r="E633" s="170"/>
      <c r="F633" s="170"/>
      <c r="G633" s="302"/>
      <c r="H633" s="175"/>
      <c r="I633" s="175"/>
      <c r="J633" s="301"/>
      <c r="L633" s="758"/>
    </row>
    <row r="634" spans="1:12" s="185" customFormat="1" ht="15" customHeight="1" outlineLevel="1">
      <c r="A634" s="167"/>
      <c r="B634" s="165"/>
      <c r="C634" s="176"/>
      <c r="D634" s="169"/>
      <c r="E634" s="170"/>
      <c r="F634" s="170"/>
      <c r="G634" s="303" t="s">
        <v>159</v>
      </c>
      <c r="H634" s="175"/>
      <c r="I634" s="175">
        <f>I633</f>
        <v>0</v>
      </c>
      <c r="J634" s="301"/>
      <c r="L634" s="758"/>
    </row>
    <row r="635" spans="1:12" s="185" customFormat="1" ht="15" customHeight="1" outlineLevel="1">
      <c r="A635" s="167"/>
      <c r="B635" s="170"/>
      <c r="C635" s="227"/>
      <c r="D635" s="228"/>
      <c r="E635" s="170"/>
      <c r="F635" s="170"/>
      <c r="G635" s="302"/>
      <c r="H635" s="175"/>
      <c r="I635" s="175"/>
      <c r="J635" s="301"/>
      <c r="L635" s="758"/>
    </row>
    <row r="636" spans="1:12" s="185" customFormat="1" ht="15" customHeight="1" outlineLevel="1">
      <c r="A636" s="167"/>
      <c r="B636" s="165" t="s">
        <v>160</v>
      </c>
      <c r="C636" s="168" t="s">
        <v>161</v>
      </c>
      <c r="D636" s="169"/>
      <c r="E636" s="171"/>
      <c r="F636" s="171"/>
      <c r="G636" s="293"/>
      <c r="H636" s="175"/>
      <c r="I636" s="175">
        <f>I634+I631+I628</f>
        <v>45150</v>
      </c>
      <c r="J636" s="301"/>
      <c r="L636" s="758"/>
    </row>
    <row r="637" spans="1:12" s="185" customFormat="1" ht="15" customHeight="1" outlineLevel="1">
      <c r="A637" s="167"/>
      <c r="B637" s="165" t="s">
        <v>162</v>
      </c>
      <c r="C637" s="168" t="s">
        <v>82</v>
      </c>
      <c r="D637" s="169"/>
      <c r="E637" s="194"/>
      <c r="F637" s="179"/>
      <c r="G637" s="180">
        <f>$J$3</f>
        <v>0.15</v>
      </c>
      <c r="H637" s="171"/>
      <c r="I637" s="175">
        <f>I636*G637</f>
        <v>6772.5</v>
      </c>
      <c r="J637" s="172"/>
      <c r="L637" s="758"/>
    </row>
    <row r="638" spans="1:12" s="185" customFormat="1" ht="15" customHeight="1" outlineLevel="1">
      <c r="A638" s="167"/>
      <c r="B638" s="165" t="s">
        <v>163</v>
      </c>
      <c r="C638" s="168" t="s">
        <v>164</v>
      </c>
      <c r="D638" s="169"/>
      <c r="E638" s="171"/>
      <c r="F638" s="171"/>
      <c r="G638" s="293"/>
      <c r="H638" s="291"/>
      <c r="I638" s="175">
        <f>I636+I637</f>
        <v>51922.5</v>
      </c>
      <c r="J638" s="301"/>
      <c r="L638" s="758"/>
    </row>
    <row r="639" spans="1:12" outlineLevel="1">
      <c r="B639" s="184"/>
      <c r="D639" s="186"/>
      <c r="E639" s="186"/>
      <c r="F639" s="186"/>
      <c r="G639" s="184"/>
      <c r="H639" s="204"/>
      <c r="I639" s="204"/>
    </row>
    <row r="640" spans="1:12" s="185" customFormat="1" ht="15" customHeight="1">
      <c r="A640" s="167" t="str">
        <f>B640</f>
        <v>A.4.6.2.10</v>
      </c>
      <c r="B640" s="159" t="s">
        <v>265</v>
      </c>
      <c r="D640" s="167" t="s">
        <v>266</v>
      </c>
      <c r="E640" s="270"/>
      <c r="F640" s="270"/>
      <c r="G640" s="299"/>
      <c r="J640" s="172">
        <f>I657</f>
        <v>72478.75</v>
      </c>
      <c r="L640" s="758"/>
    </row>
    <row r="641" spans="1:12" s="185" customFormat="1" ht="31.2" outlineLevel="1">
      <c r="A641" s="167"/>
      <c r="B641" s="205" t="s">
        <v>75</v>
      </c>
      <c r="C641" s="340" t="s">
        <v>140</v>
      </c>
      <c r="D641" s="341"/>
      <c r="E641" s="164" t="s">
        <v>141</v>
      </c>
      <c r="F641" s="164" t="s">
        <v>142</v>
      </c>
      <c r="G641" s="300" t="s">
        <v>143</v>
      </c>
      <c r="H641" s="165" t="s">
        <v>144</v>
      </c>
      <c r="I641" s="165" t="s">
        <v>145</v>
      </c>
      <c r="J641" s="301"/>
      <c r="L641" s="758"/>
    </row>
    <row r="642" spans="1:12" s="185" customFormat="1" ht="15" customHeight="1" outlineLevel="1">
      <c r="A642" s="167"/>
      <c r="B642" s="165" t="s">
        <v>146</v>
      </c>
      <c r="C642" s="168" t="s">
        <v>147</v>
      </c>
      <c r="D642" s="169"/>
      <c r="E642" s="170"/>
      <c r="F642" s="170"/>
      <c r="G642" s="302"/>
      <c r="H642" s="171"/>
      <c r="I642" s="171"/>
      <c r="J642" s="301"/>
      <c r="L642" s="758"/>
    </row>
    <row r="643" spans="1:12" s="185" customFormat="1" ht="15" customHeight="1" outlineLevel="1">
      <c r="A643" s="167"/>
      <c r="B643" s="165"/>
      <c r="C643" s="168" t="s">
        <v>77</v>
      </c>
      <c r="D643" s="169"/>
      <c r="E643" s="165" t="s">
        <v>148</v>
      </c>
      <c r="F643" s="165" t="s">
        <v>76</v>
      </c>
      <c r="G643" s="293">
        <v>0.02</v>
      </c>
      <c r="H643" s="174">
        <f>VLOOKUP(C643,'UPAH-BAHAN'!D:F,2,0)</f>
        <v>120000</v>
      </c>
      <c r="I643" s="175">
        <f>G643*H643</f>
        <v>2400</v>
      </c>
      <c r="J643" s="301"/>
      <c r="L643" s="758"/>
    </row>
    <row r="644" spans="1:12" s="185" customFormat="1" ht="15" customHeight="1" outlineLevel="1">
      <c r="A644" s="167"/>
      <c r="B644" s="165"/>
      <c r="C644" s="168" t="s">
        <v>97</v>
      </c>
      <c r="D644" s="169"/>
      <c r="E644" s="165" t="s">
        <v>149</v>
      </c>
      <c r="F644" s="165" t="s">
        <v>76</v>
      </c>
      <c r="G644" s="293">
        <v>0.2</v>
      </c>
      <c r="H644" s="174">
        <f>VLOOKUP(C644,'UPAH-BAHAN'!D:F,2,0)</f>
        <v>160000</v>
      </c>
      <c r="I644" s="175">
        <f>G644*H644</f>
        <v>32000</v>
      </c>
      <c r="J644" s="301"/>
      <c r="L644" s="758"/>
    </row>
    <row r="645" spans="1:12" s="185" customFormat="1" ht="15" customHeight="1" outlineLevel="1">
      <c r="A645" s="167"/>
      <c r="B645" s="165"/>
      <c r="C645" s="168" t="s">
        <v>99</v>
      </c>
      <c r="D645" s="169"/>
      <c r="E645" s="165" t="s">
        <v>150</v>
      </c>
      <c r="F645" s="165" t="s">
        <v>76</v>
      </c>
      <c r="G645" s="303">
        <v>0.02</v>
      </c>
      <c r="H645" s="174">
        <f>VLOOKUP(C645,'UPAH-BAHAN'!D:F,2,0)</f>
        <v>170000</v>
      </c>
      <c r="I645" s="175">
        <f>G645*H645</f>
        <v>3400</v>
      </c>
      <c r="J645" s="301"/>
      <c r="L645" s="758"/>
    </row>
    <row r="646" spans="1:12" s="185" customFormat="1" ht="15" customHeight="1" outlineLevel="1">
      <c r="A646" s="167"/>
      <c r="B646" s="165"/>
      <c r="C646" s="168" t="s">
        <v>80</v>
      </c>
      <c r="D646" s="169"/>
      <c r="E646" s="165" t="s">
        <v>151</v>
      </c>
      <c r="F646" s="165" t="s">
        <v>76</v>
      </c>
      <c r="G646" s="293">
        <v>1E-3</v>
      </c>
      <c r="H646" s="174">
        <f>VLOOKUP(C646,'UPAH-BAHAN'!D:F,2,0)</f>
        <v>225000</v>
      </c>
      <c r="I646" s="175">
        <f>G646*H646</f>
        <v>225</v>
      </c>
      <c r="J646" s="301"/>
      <c r="L646" s="758"/>
    </row>
    <row r="647" spans="1:12" s="185" customFormat="1" ht="15" customHeight="1" outlineLevel="1">
      <c r="A647" s="167"/>
      <c r="B647" s="165"/>
      <c r="C647" s="168"/>
      <c r="D647" s="169"/>
      <c r="E647" s="170"/>
      <c r="F647" s="170"/>
      <c r="G647" s="303" t="s">
        <v>171</v>
      </c>
      <c r="H647" s="177"/>
      <c r="I647" s="175">
        <f>SUM(I643:I646)</f>
        <v>38025</v>
      </c>
      <c r="J647" s="301"/>
      <c r="L647" s="758"/>
    </row>
    <row r="648" spans="1:12" s="185" customFormat="1" ht="15" customHeight="1" outlineLevel="1">
      <c r="A648" s="167"/>
      <c r="B648" s="165" t="s">
        <v>153</v>
      </c>
      <c r="C648" s="168" t="s">
        <v>154</v>
      </c>
      <c r="D648" s="169"/>
      <c r="E648" s="170"/>
      <c r="F648" s="170"/>
      <c r="G648" s="303"/>
      <c r="H648" s="175"/>
      <c r="I648" s="175"/>
      <c r="J648" s="301"/>
      <c r="L648" s="758"/>
    </row>
    <row r="649" spans="1:12" s="185" customFormat="1" ht="15" customHeight="1" outlineLevel="1">
      <c r="A649" s="167"/>
      <c r="B649" s="165"/>
      <c r="C649" s="168" t="s">
        <v>267</v>
      </c>
      <c r="D649" s="169"/>
      <c r="E649" s="170"/>
      <c r="F649" s="165" t="s">
        <v>23</v>
      </c>
      <c r="G649" s="293">
        <v>1</v>
      </c>
      <c r="H649" s="174">
        <f>VLOOKUP(C649,'UPAH-BAHAN'!D:F,2,0)</f>
        <v>25000</v>
      </c>
      <c r="I649" s="175">
        <f>G649*H649</f>
        <v>25000</v>
      </c>
      <c r="J649" s="301"/>
      <c r="L649" s="758"/>
    </row>
    <row r="650" spans="1:12" s="185" customFormat="1" ht="15" customHeight="1" outlineLevel="1">
      <c r="A650" s="167"/>
      <c r="B650" s="165"/>
      <c r="C650" s="168"/>
      <c r="D650" s="169"/>
      <c r="E650" s="170"/>
      <c r="F650" s="170"/>
      <c r="G650" s="303" t="s">
        <v>172</v>
      </c>
      <c r="H650" s="175"/>
      <c r="I650" s="175">
        <f>SUM(I649:I649)</f>
        <v>25000</v>
      </c>
      <c r="J650" s="301"/>
      <c r="L650" s="758"/>
    </row>
    <row r="651" spans="1:12" s="185" customFormat="1" ht="15" customHeight="1" outlineLevel="1">
      <c r="A651" s="167"/>
      <c r="B651" s="165" t="s">
        <v>157</v>
      </c>
      <c r="C651" s="168" t="s">
        <v>158</v>
      </c>
      <c r="D651" s="169"/>
      <c r="E651" s="170"/>
      <c r="F651" s="170"/>
      <c r="G651" s="302"/>
      <c r="H651" s="175"/>
      <c r="I651" s="175"/>
      <c r="J651" s="301"/>
      <c r="L651" s="758"/>
    </row>
    <row r="652" spans="1:12" s="185" customFormat="1" ht="15" customHeight="1" outlineLevel="1">
      <c r="A652" s="167"/>
      <c r="B652" s="165"/>
      <c r="C652" s="168"/>
      <c r="D652" s="169"/>
      <c r="E652" s="170"/>
      <c r="F652" s="170"/>
      <c r="G652" s="302"/>
      <c r="H652" s="175"/>
      <c r="I652" s="175"/>
      <c r="J652" s="301"/>
      <c r="L652" s="758"/>
    </row>
    <row r="653" spans="1:12" s="185" customFormat="1" ht="15" customHeight="1" outlineLevel="1">
      <c r="A653" s="167"/>
      <c r="B653" s="165"/>
      <c r="C653" s="176"/>
      <c r="D653" s="169"/>
      <c r="E653" s="170"/>
      <c r="F653" s="170"/>
      <c r="G653" s="303" t="s">
        <v>159</v>
      </c>
      <c r="H653" s="175"/>
      <c r="I653" s="175">
        <f>I652</f>
        <v>0</v>
      </c>
      <c r="J653" s="301"/>
      <c r="L653" s="758"/>
    </row>
    <row r="654" spans="1:12" s="185" customFormat="1" ht="15" customHeight="1" outlineLevel="1">
      <c r="A654" s="167"/>
      <c r="B654" s="170"/>
      <c r="C654" s="227"/>
      <c r="D654" s="228"/>
      <c r="E654" s="170"/>
      <c r="F654" s="170"/>
      <c r="G654" s="302"/>
      <c r="H654" s="175"/>
      <c r="I654" s="175"/>
      <c r="J654" s="301"/>
      <c r="L654" s="758"/>
    </row>
    <row r="655" spans="1:12" s="185" customFormat="1" ht="15" customHeight="1" outlineLevel="1">
      <c r="A655" s="167"/>
      <c r="B655" s="165" t="s">
        <v>160</v>
      </c>
      <c r="C655" s="168" t="s">
        <v>161</v>
      </c>
      <c r="D655" s="169"/>
      <c r="E655" s="171"/>
      <c r="F655" s="171"/>
      <c r="G655" s="293"/>
      <c r="H655" s="175"/>
      <c r="I655" s="175">
        <f>I653+I650+I647</f>
        <v>63025</v>
      </c>
      <c r="J655" s="301"/>
      <c r="L655" s="758"/>
    </row>
    <row r="656" spans="1:12" s="185" customFormat="1" ht="15" customHeight="1" outlineLevel="1">
      <c r="A656" s="167"/>
      <c r="B656" s="165" t="s">
        <v>162</v>
      </c>
      <c r="C656" s="168" t="s">
        <v>82</v>
      </c>
      <c r="D656" s="169"/>
      <c r="E656" s="194"/>
      <c r="F656" s="179"/>
      <c r="G656" s="180">
        <f>$J$3</f>
        <v>0.15</v>
      </c>
      <c r="H656" s="171"/>
      <c r="I656" s="175">
        <f>I655*G656</f>
        <v>9453.75</v>
      </c>
      <c r="J656" s="172"/>
      <c r="L656" s="758"/>
    </row>
    <row r="657" spans="1:12" s="185" customFormat="1" ht="15" customHeight="1" outlineLevel="1">
      <c r="A657" s="167"/>
      <c r="B657" s="165" t="s">
        <v>163</v>
      </c>
      <c r="C657" s="168" t="s">
        <v>164</v>
      </c>
      <c r="D657" s="169"/>
      <c r="E657" s="171"/>
      <c r="F657" s="171"/>
      <c r="G657" s="293"/>
      <c r="H657" s="291"/>
      <c r="I657" s="175">
        <f>I655+I656</f>
        <v>72478.75</v>
      </c>
      <c r="J657" s="301"/>
      <c r="L657" s="758"/>
    </row>
    <row r="658" spans="1:12" outlineLevel="1">
      <c r="B658" s="184"/>
      <c r="D658" s="186"/>
      <c r="E658" s="186"/>
      <c r="F658" s="186"/>
      <c r="G658" s="184"/>
      <c r="H658" s="204"/>
      <c r="I658" s="204"/>
    </row>
    <row r="659" spans="1:12" s="185" customFormat="1" ht="15" customHeight="1">
      <c r="A659" s="167" t="str">
        <f>B659</f>
        <v>A.4.6.2.11</v>
      </c>
      <c r="B659" s="159" t="s">
        <v>268</v>
      </c>
      <c r="D659" s="167" t="s">
        <v>269</v>
      </c>
      <c r="E659" s="270"/>
      <c r="F659" s="270"/>
      <c r="G659" s="299"/>
      <c r="J659" s="172">
        <f>I676</f>
        <v>60978.75</v>
      </c>
      <c r="L659" s="758"/>
    </row>
    <row r="660" spans="1:12" s="185" customFormat="1" ht="31.2" outlineLevel="1">
      <c r="A660" s="167"/>
      <c r="B660" s="205" t="s">
        <v>75</v>
      </c>
      <c r="C660" s="340" t="s">
        <v>140</v>
      </c>
      <c r="D660" s="341"/>
      <c r="E660" s="164" t="s">
        <v>141</v>
      </c>
      <c r="F660" s="164" t="s">
        <v>142</v>
      </c>
      <c r="G660" s="300" t="s">
        <v>143</v>
      </c>
      <c r="H660" s="165" t="s">
        <v>144</v>
      </c>
      <c r="I660" s="165" t="s">
        <v>145</v>
      </c>
      <c r="J660" s="301"/>
      <c r="L660" s="758"/>
    </row>
    <row r="661" spans="1:12" s="185" customFormat="1" ht="15" customHeight="1" outlineLevel="1">
      <c r="A661" s="167"/>
      <c r="B661" s="165" t="s">
        <v>146</v>
      </c>
      <c r="C661" s="168" t="s">
        <v>147</v>
      </c>
      <c r="D661" s="169"/>
      <c r="E661" s="170"/>
      <c r="F661" s="170"/>
      <c r="G661" s="302"/>
      <c r="H661" s="171"/>
      <c r="I661" s="171"/>
      <c r="J661" s="301"/>
      <c r="L661" s="758"/>
    </row>
    <row r="662" spans="1:12" s="185" customFormat="1" ht="15" customHeight="1" outlineLevel="1">
      <c r="A662" s="167"/>
      <c r="B662" s="165"/>
      <c r="C662" s="168" t="s">
        <v>77</v>
      </c>
      <c r="D662" s="169"/>
      <c r="E662" s="165" t="s">
        <v>148</v>
      </c>
      <c r="F662" s="165" t="s">
        <v>76</v>
      </c>
      <c r="G662" s="293">
        <v>0.02</v>
      </c>
      <c r="H662" s="174">
        <f>VLOOKUP(C662,'UPAH-BAHAN'!D:F,2,0)</f>
        <v>120000</v>
      </c>
      <c r="I662" s="175">
        <f>G662*H662</f>
        <v>2400</v>
      </c>
      <c r="J662" s="301"/>
      <c r="L662" s="758"/>
    </row>
    <row r="663" spans="1:12" s="185" customFormat="1" ht="15" customHeight="1" outlineLevel="1">
      <c r="A663" s="167"/>
      <c r="B663" s="165"/>
      <c r="C663" s="168" t="s">
        <v>97</v>
      </c>
      <c r="D663" s="169"/>
      <c r="E663" s="165" t="s">
        <v>149</v>
      </c>
      <c r="F663" s="165" t="s">
        <v>76</v>
      </c>
      <c r="G663" s="293">
        <v>0.2</v>
      </c>
      <c r="H663" s="174">
        <f>VLOOKUP(C663,'UPAH-BAHAN'!D:F,2,0)</f>
        <v>160000</v>
      </c>
      <c r="I663" s="175">
        <f>G663*H663</f>
        <v>32000</v>
      </c>
      <c r="J663" s="301"/>
      <c r="L663" s="758"/>
    </row>
    <row r="664" spans="1:12" s="185" customFormat="1" ht="15" customHeight="1" outlineLevel="1">
      <c r="A664" s="167"/>
      <c r="B664" s="165"/>
      <c r="C664" s="168" t="s">
        <v>99</v>
      </c>
      <c r="D664" s="169"/>
      <c r="E664" s="165" t="s">
        <v>150</v>
      </c>
      <c r="F664" s="165" t="s">
        <v>76</v>
      </c>
      <c r="G664" s="303">
        <v>0.02</v>
      </c>
      <c r="H664" s="174">
        <f>VLOOKUP(C664,'UPAH-BAHAN'!D:F,2,0)</f>
        <v>170000</v>
      </c>
      <c r="I664" s="175">
        <f>G664*H664</f>
        <v>3400</v>
      </c>
      <c r="J664" s="301"/>
      <c r="L664" s="758"/>
    </row>
    <row r="665" spans="1:12" s="185" customFormat="1" ht="15" customHeight="1" outlineLevel="1">
      <c r="A665" s="167"/>
      <c r="B665" s="165"/>
      <c r="C665" s="168" t="s">
        <v>80</v>
      </c>
      <c r="D665" s="169"/>
      <c r="E665" s="165" t="s">
        <v>151</v>
      </c>
      <c r="F665" s="165" t="s">
        <v>76</v>
      </c>
      <c r="G665" s="293">
        <v>1E-3</v>
      </c>
      <c r="H665" s="174">
        <f>VLOOKUP(C665,'UPAH-BAHAN'!D:F,2,0)</f>
        <v>225000</v>
      </c>
      <c r="I665" s="175">
        <f>G665*H665</f>
        <v>225</v>
      </c>
      <c r="J665" s="301"/>
      <c r="L665" s="758"/>
    </row>
    <row r="666" spans="1:12" s="185" customFormat="1" ht="15" customHeight="1" outlineLevel="1">
      <c r="A666" s="167"/>
      <c r="B666" s="165"/>
      <c r="C666" s="168"/>
      <c r="D666" s="169"/>
      <c r="E666" s="170"/>
      <c r="F666" s="170"/>
      <c r="G666" s="303" t="s">
        <v>171</v>
      </c>
      <c r="H666" s="177"/>
      <c r="I666" s="175">
        <f>SUM(I662:I665)</f>
        <v>38025</v>
      </c>
      <c r="J666" s="301"/>
      <c r="L666" s="758"/>
    </row>
    <row r="667" spans="1:12" s="185" customFormat="1" ht="15" customHeight="1" outlineLevel="1">
      <c r="A667" s="167"/>
      <c r="B667" s="165" t="s">
        <v>153</v>
      </c>
      <c r="C667" s="168" t="s">
        <v>154</v>
      </c>
      <c r="D667" s="169"/>
      <c r="E667" s="170"/>
      <c r="F667" s="170"/>
      <c r="G667" s="303"/>
      <c r="H667" s="175"/>
      <c r="I667" s="175"/>
      <c r="J667" s="301"/>
      <c r="L667" s="758"/>
    </row>
    <row r="668" spans="1:12" s="185" customFormat="1" ht="15" customHeight="1" outlineLevel="1">
      <c r="A668" s="167"/>
      <c r="B668" s="165"/>
      <c r="C668" s="168" t="s">
        <v>270</v>
      </c>
      <c r="D668" s="169"/>
      <c r="E668" s="170"/>
      <c r="F668" s="165" t="s">
        <v>23</v>
      </c>
      <c r="G668" s="293">
        <v>1</v>
      </c>
      <c r="H668" s="174">
        <f>VLOOKUP(C668,'UPAH-BAHAN'!D:F,2,0)</f>
        <v>15000</v>
      </c>
      <c r="I668" s="175">
        <f>G668*H668</f>
        <v>15000</v>
      </c>
      <c r="J668" s="301"/>
      <c r="L668" s="758"/>
    </row>
    <row r="669" spans="1:12" s="185" customFormat="1" ht="15" customHeight="1" outlineLevel="1">
      <c r="A669" s="167"/>
      <c r="B669" s="165"/>
      <c r="C669" s="168"/>
      <c r="D669" s="169"/>
      <c r="E669" s="170"/>
      <c r="F669" s="170"/>
      <c r="G669" s="303" t="s">
        <v>172</v>
      </c>
      <c r="H669" s="175"/>
      <c r="I669" s="175">
        <f>SUM(I668:I668)</f>
        <v>15000</v>
      </c>
      <c r="J669" s="301"/>
      <c r="L669" s="758"/>
    </row>
    <row r="670" spans="1:12" s="185" customFormat="1" ht="15" customHeight="1" outlineLevel="1">
      <c r="A670" s="167"/>
      <c r="B670" s="165" t="s">
        <v>157</v>
      </c>
      <c r="C670" s="168" t="s">
        <v>158</v>
      </c>
      <c r="D670" s="169"/>
      <c r="E670" s="170"/>
      <c r="F670" s="170"/>
      <c r="G670" s="302"/>
      <c r="H670" s="175"/>
      <c r="I670" s="175"/>
      <c r="J670" s="301"/>
      <c r="L670" s="758"/>
    </row>
    <row r="671" spans="1:12" s="185" customFormat="1" ht="15" customHeight="1" outlineLevel="1">
      <c r="A671" s="167"/>
      <c r="B671" s="165"/>
      <c r="C671" s="168"/>
      <c r="D671" s="169"/>
      <c r="E671" s="170"/>
      <c r="F671" s="170"/>
      <c r="G671" s="302"/>
      <c r="H671" s="175"/>
      <c r="I671" s="175"/>
      <c r="J671" s="301"/>
      <c r="L671" s="758"/>
    </row>
    <row r="672" spans="1:12" s="185" customFormat="1" ht="15" customHeight="1" outlineLevel="1">
      <c r="A672" s="167"/>
      <c r="B672" s="165"/>
      <c r="C672" s="176"/>
      <c r="D672" s="169"/>
      <c r="E672" s="170"/>
      <c r="F672" s="170"/>
      <c r="G672" s="303" t="s">
        <v>159</v>
      </c>
      <c r="H672" s="175"/>
      <c r="I672" s="175">
        <f>I671</f>
        <v>0</v>
      </c>
      <c r="J672" s="301"/>
      <c r="L672" s="758"/>
    </row>
    <row r="673" spans="1:12" s="185" customFormat="1" ht="15" customHeight="1" outlineLevel="1">
      <c r="A673" s="167"/>
      <c r="B673" s="170"/>
      <c r="C673" s="227"/>
      <c r="D673" s="228"/>
      <c r="E673" s="170"/>
      <c r="F673" s="170"/>
      <c r="G673" s="302"/>
      <c r="H673" s="175"/>
      <c r="I673" s="175"/>
      <c r="J673" s="301"/>
      <c r="L673" s="758"/>
    </row>
    <row r="674" spans="1:12" s="185" customFormat="1" ht="15" customHeight="1" outlineLevel="1">
      <c r="A674" s="167"/>
      <c r="B674" s="165" t="s">
        <v>160</v>
      </c>
      <c r="C674" s="168" t="s">
        <v>161</v>
      </c>
      <c r="D674" s="169"/>
      <c r="E674" s="171"/>
      <c r="F674" s="171"/>
      <c r="G674" s="293"/>
      <c r="H674" s="175"/>
      <c r="I674" s="175">
        <f>I672+I669+I666</f>
        <v>53025</v>
      </c>
      <c r="J674" s="301"/>
      <c r="L674" s="758"/>
    </row>
    <row r="675" spans="1:12" s="185" customFormat="1" ht="15" customHeight="1" outlineLevel="1">
      <c r="A675" s="167"/>
      <c r="B675" s="165" t="s">
        <v>162</v>
      </c>
      <c r="C675" s="168" t="s">
        <v>82</v>
      </c>
      <c r="D675" s="169"/>
      <c r="E675" s="194"/>
      <c r="F675" s="179"/>
      <c r="G675" s="180">
        <f>$J$3</f>
        <v>0.15</v>
      </c>
      <c r="H675" s="171"/>
      <c r="I675" s="175">
        <f>I674*G675</f>
        <v>7953.75</v>
      </c>
      <c r="J675" s="172"/>
      <c r="L675" s="758"/>
    </row>
    <row r="676" spans="1:12" s="185" customFormat="1" ht="15" customHeight="1" outlineLevel="1">
      <c r="A676" s="167"/>
      <c r="B676" s="165" t="s">
        <v>163</v>
      </c>
      <c r="C676" s="168" t="s">
        <v>164</v>
      </c>
      <c r="D676" s="169"/>
      <c r="E676" s="171"/>
      <c r="F676" s="171"/>
      <c r="G676" s="293"/>
      <c r="H676" s="291"/>
      <c r="I676" s="175">
        <f>I674+I675</f>
        <v>60978.75</v>
      </c>
      <c r="J676" s="301"/>
      <c r="L676" s="758"/>
    </row>
    <row r="677" spans="1:12" outlineLevel="1">
      <c r="B677" s="184"/>
      <c r="D677" s="186"/>
      <c r="E677" s="186"/>
      <c r="F677" s="186"/>
      <c r="G677" s="184"/>
      <c r="H677" s="204"/>
      <c r="I677" s="204"/>
    </row>
    <row r="678" spans="1:12" s="185" customFormat="1" ht="15" customHeight="1">
      <c r="A678" s="167" t="str">
        <f>B678</f>
        <v>A.4.6.2.12</v>
      </c>
      <c r="B678" s="159" t="s">
        <v>271</v>
      </c>
      <c r="D678" s="167" t="s">
        <v>866</v>
      </c>
      <c r="E678" s="270"/>
      <c r="F678" s="270"/>
      <c r="G678" s="299"/>
      <c r="J678" s="172">
        <f>I695</f>
        <v>95478.75</v>
      </c>
      <c r="L678" s="758"/>
    </row>
    <row r="679" spans="1:12" s="185" customFormat="1" ht="31.2" outlineLevel="1">
      <c r="A679" s="167"/>
      <c r="B679" s="205" t="s">
        <v>75</v>
      </c>
      <c r="C679" s="340" t="s">
        <v>140</v>
      </c>
      <c r="D679" s="341"/>
      <c r="E679" s="164" t="s">
        <v>141</v>
      </c>
      <c r="F679" s="164" t="s">
        <v>142</v>
      </c>
      <c r="G679" s="300" t="s">
        <v>143</v>
      </c>
      <c r="H679" s="165" t="s">
        <v>144</v>
      </c>
      <c r="I679" s="165" t="s">
        <v>145</v>
      </c>
      <c r="J679" s="301"/>
      <c r="L679" s="758"/>
    </row>
    <row r="680" spans="1:12" s="185" customFormat="1" ht="15" customHeight="1" outlineLevel="1">
      <c r="A680" s="167"/>
      <c r="B680" s="165" t="s">
        <v>146</v>
      </c>
      <c r="C680" s="168" t="s">
        <v>147</v>
      </c>
      <c r="D680" s="169"/>
      <c r="E680" s="170"/>
      <c r="F680" s="170"/>
      <c r="G680" s="302"/>
      <c r="H680" s="171"/>
      <c r="I680" s="171"/>
      <c r="J680" s="301"/>
      <c r="L680" s="758"/>
    </row>
    <row r="681" spans="1:12" s="185" customFormat="1" ht="15" customHeight="1" outlineLevel="1">
      <c r="A681" s="167"/>
      <c r="B681" s="165"/>
      <c r="C681" s="168" t="s">
        <v>77</v>
      </c>
      <c r="D681" s="169"/>
      <c r="E681" s="165" t="s">
        <v>148</v>
      </c>
      <c r="F681" s="165" t="s">
        <v>76</v>
      </c>
      <c r="G681" s="293">
        <v>0.02</v>
      </c>
      <c r="H681" s="174">
        <f>VLOOKUP(C681,'UPAH-BAHAN'!D:F,2,0)</f>
        <v>120000</v>
      </c>
      <c r="I681" s="175">
        <f>G681*H681</f>
        <v>2400</v>
      </c>
      <c r="J681" s="301"/>
      <c r="L681" s="758"/>
    </row>
    <row r="682" spans="1:12" s="185" customFormat="1" ht="15" customHeight="1" outlineLevel="1">
      <c r="A682" s="167"/>
      <c r="B682" s="165"/>
      <c r="C682" s="168" t="s">
        <v>97</v>
      </c>
      <c r="D682" s="169"/>
      <c r="E682" s="165" t="s">
        <v>149</v>
      </c>
      <c r="F682" s="165" t="s">
        <v>76</v>
      </c>
      <c r="G682" s="293">
        <v>0.2</v>
      </c>
      <c r="H682" s="174">
        <f>VLOOKUP(C682,'UPAH-BAHAN'!D:F,2,0)</f>
        <v>160000</v>
      </c>
      <c r="I682" s="175">
        <f>G682*H682</f>
        <v>32000</v>
      </c>
      <c r="J682" s="301"/>
      <c r="L682" s="758"/>
    </row>
    <row r="683" spans="1:12" s="185" customFormat="1" ht="15" customHeight="1" outlineLevel="1">
      <c r="A683" s="167"/>
      <c r="B683" s="165"/>
      <c r="C683" s="168" t="s">
        <v>99</v>
      </c>
      <c r="D683" s="169"/>
      <c r="E683" s="165" t="s">
        <v>150</v>
      </c>
      <c r="F683" s="165" t="s">
        <v>76</v>
      </c>
      <c r="G683" s="303">
        <v>0.02</v>
      </c>
      <c r="H683" s="174">
        <f>VLOOKUP(C683,'UPAH-BAHAN'!D:F,2,0)</f>
        <v>170000</v>
      </c>
      <c r="I683" s="175">
        <f>G683*H683</f>
        <v>3400</v>
      </c>
      <c r="J683" s="301"/>
      <c r="L683" s="758"/>
    </row>
    <row r="684" spans="1:12" s="185" customFormat="1" ht="15" customHeight="1" outlineLevel="1">
      <c r="A684" s="167"/>
      <c r="B684" s="165"/>
      <c r="C684" s="168" t="s">
        <v>80</v>
      </c>
      <c r="D684" s="169"/>
      <c r="E684" s="165" t="s">
        <v>151</v>
      </c>
      <c r="F684" s="165" t="s">
        <v>76</v>
      </c>
      <c r="G684" s="293">
        <v>1E-3</v>
      </c>
      <c r="H684" s="174">
        <f>VLOOKUP(C684,'UPAH-BAHAN'!D:F,2,0)</f>
        <v>225000</v>
      </c>
      <c r="I684" s="175">
        <f>G684*H684</f>
        <v>225</v>
      </c>
      <c r="J684" s="301"/>
      <c r="L684" s="758"/>
    </row>
    <row r="685" spans="1:12" s="185" customFormat="1" ht="15" customHeight="1" outlineLevel="1">
      <c r="A685" s="167"/>
      <c r="B685" s="165"/>
      <c r="C685" s="168"/>
      <c r="D685" s="169"/>
      <c r="E685" s="170"/>
      <c r="F685" s="170"/>
      <c r="G685" s="303" t="s">
        <v>171</v>
      </c>
      <c r="H685" s="177"/>
      <c r="I685" s="175">
        <f>SUM(I681:I684)</f>
        <v>38025</v>
      </c>
      <c r="J685" s="301"/>
      <c r="L685" s="758"/>
    </row>
    <row r="686" spans="1:12" s="185" customFormat="1" ht="15" customHeight="1" outlineLevel="1">
      <c r="A686" s="167"/>
      <c r="B686" s="165" t="s">
        <v>153</v>
      </c>
      <c r="C686" s="168" t="s">
        <v>154</v>
      </c>
      <c r="D686" s="169"/>
      <c r="E686" s="170"/>
      <c r="F686" s="170"/>
      <c r="G686" s="303"/>
      <c r="H686" s="175"/>
      <c r="I686" s="175"/>
      <c r="J686" s="301"/>
      <c r="L686" s="758"/>
    </row>
    <row r="687" spans="1:12" s="185" customFormat="1" ht="15" customHeight="1" outlineLevel="1">
      <c r="A687" s="167"/>
      <c r="B687" s="165"/>
      <c r="C687" s="168" t="s">
        <v>865</v>
      </c>
      <c r="D687" s="169"/>
      <c r="E687" s="170"/>
      <c r="F687" s="165" t="s">
        <v>23</v>
      </c>
      <c r="G687" s="293">
        <v>1</v>
      </c>
      <c r="H687" s="174">
        <f>VLOOKUP(C687,'UPAH-BAHAN'!D:F,2,0)</f>
        <v>45000</v>
      </c>
      <c r="I687" s="175">
        <f>G687*H687</f>
        <v>45000</v>
      </c>
      <c r="J687" s="301"/>
      <c r="L687" s="758"/>
    </row>
    <row r="688" spans="1:12" s="185" customFormat="1" ht="15" customHeight="1" outlineLevel="1">
      <c r="A688" s="167"/>
      <c r="B688" s="165"/>
      <c r="C688" s="168"/>
      <c r="D688" s="169"/>
      <c r="E688" s="170"/>
      <c r="F688" s="170"/>
      <c r="G688" s="303" t="s">
        <v>172</v>
      </c>
      <c r="H688" s="175"/>
      <c r="I688" s="175">
        <f>SUM(I687:I687)</f>
        <v>45000</v>
      </c>
      <c r="J688" s="301"/>
      <c r="L688" s="758"/>
    </row>
    <row r="689" spans="1:12" s="185" customFormat="1" ht="15" customHeight="1" outlineLevel="1">
      <c r="A689" s="167"/>
      <c r="B689" s="165" t="s">
        <v>157</v>
      </c>
      <c r="C689" s="168" t="s">
        <v>158</v>
      </c>
      <c r="D689" s="169"/>
      <c r="E689" s="170"/>
      <c r="F689" s="170"/>
      <c r="G689" s="302"/>
      <c r="H689" s="175"/>
      <c r="I689" s="175"/>
      <c r="J689" s="301"/>
      <c r="L689" s="758"/>
    </row>
    <row r="690" spans="1:12" s="185" customFormat="1" ht="15" customHeight="1" outlineLevel="1">
      <c r="A690" s="167"/>
      <c r="B690" s="165"/>
      <c r="C690" s="168"/>
      <c r="D690" s="169"/>
      <c r="E690" s="170"/>
      <c r="F690" s="170"/>
      <c r="G690" s="302"/>
      <c r="H690" s="175"/>
      <c r="I690" s="175"/>
      <c r="J690" s="301"/>
      <c r="L690" s="758"/>
    </row>
    <row r="691" spans="1:12" s="185" customFormat="1" ht="15" customHeight="1" outlineLevel="1">
      <c r="A691" s="167"/>
      <c r="B691" s="165"/>
      <c r="C691" s="176"/>
      <c r="D691" s="169"/>
      <c r="E691" s="170"/>
      <c r="F691" s="170"/>
      <c r="G691" s="303" t="s">
        <v>159</v>
      </c>
      <c r="H691" s="175"/>
      <c r="I691" s="175">
        <f>I690</f>
        <v>0</v>
      </c>
      <c r="J691" s="301"/>
      <c r="L691" s="758"/>
    </row>
    <row r="692" spans="1:12" s="185" customFormat="1" ht="15" customHeight="1" outlineLevel="1">
      <c r="A692" s="167"/>
      <c r="B692" s="170"/>
      <c r="C692" s="227"/>
      <c r="D692" s="228"/>
      <c r="E692" s="170"/>
      <c r="F692" s="170"/>
      <c r="G692" s="302"/>
      <c r="H692" s="175"/>
      <c r="I692" s="175"/>
      <c r="J692" s="301"/>
      <c r="L692" s="758"/>
    </row>
    <row r="693" spans="1:12" s="185" customFormat="1" ht="15" customHeight="1" outlineLevel="1">
      <c r="A693" s="167"/>
      <c r="B693" s="165" t="s">
        <v>160</v>
      </c>
      <c r="C693" s="168" t="s">
        <v>161</v>
      </c>
      <c r="D693" s="169"/>
      <c r="E693" s="171"/>
      <c r="F693" s="171"/>
      <c r="G693" s="293"/>
      <c r="H693" s="175"/>
      <c r="I693" s="175">
        <f>I691+I688+I685</f>
        <v>83025</v>
      </c>
      <c r="J693" s="301"/>
      <c r="L693" s="758"/>
    </row>
    <row r="694" spans="1:12" s="185" customFormat="1" ht="15" customHeight="1" outlineLevel="1">
      <c r="A694" s="167"/>
      <c r="B694" s="165" t="s">
        <v>162</v>
      </c>
      <c r="C694" s="168" t="s">
        <v>82</v>
      </c>
      <c r="D694" s="169"/>
      <c r="E694" s="194"/>
      <c r="F694" s="179"/>
      <c r="G694" s="180">
        <f>$J$3</f>
        <v>0.15</v>
      </c>
      <c r="H694" s="171"/>
      <c r="I694" s="175">
        <f>I693*G694</f>
        <v>12453.75</v>
      </c>
      <c r="J694" s="172"/>
      <c r="L694" s="758"/>
    </row>
    <row r="695" spans="1:12" s="185" customFormat="1" ht="15" customHeight="1" outlineLevel="1">
      <c r="A695" s="167"/>
      <c r="B695" s="165" t="s">
        <v>163</v>
      </c>
      <c r="C695" s="168" t="s">
        <v>164</v>
      </c>
      <c r="D695" s="169"/>
      <c r="E695" s="171"/>
      <c r="F695" s="171"/>
      <c r="G695" s="293"/>
      <c r="H695" s="291"/>
      <c r="I695" s="175">
        <f>I693+I694</f>
        <v>95478.75</v>
      </c>
      <c r="J695" s="301"/>
      <c r="L695" s="758"/>
    </row>
    <row r="696" spans="1:12" outlineLevel="1">
      <c r="B696" s="184"/>
      <c r="D696" s="186"/>
      <c r="E696" s="186"/>
      <c r="F696" s="186"/>
      <c r="G696" s="184"/>
      <c r="H696" s="204"/>
      <c r="I696" s="204"/>
    </row>
    <row r="697" spans="1:12" s="185" customFormat="1" ht="15" customHeight="1">
      <c r="A697" s="167" t="str">
        <f>B697</f>
        <v>A.4.6.2.13</v>
      </c>
      <c r="B697" s="159" t="s">
        <v>854</v>
      </c>
      <c r="D697" s="167" t="s">
        <v>853</v>
      </c>
      <c r="E697" s="270"/>
      <c r="F697" s="270"/>
      <c r="G697" s="299"/>
      <c r="J697" s="172">
        <f>I714</f>
        <v>398618.75</v>
      </c>
      <c r="L697" s="758"/>
    </row>
    <row r="698" spans="1:12" s="185" customFormat="1" ht="31.2" outlineLevel="1">
      <c r="A698" s="167"/>
      <c r="B698" s="205" t="s">
        <v>75</v>
      </c>
      <c r="C698" s="340" t="s">
        <v>140</v>
      </c>
      <c r="D698" s="341"/>
      <c r="E698" s="164" t="s">
        <v>141</v>
      </c>
      <c r="F698" s="164" t="s">
        <v>142</v>
      </c>
      <c r="G698" s="300" t="s">
        <v>143</v>
      </c>
      <c r="H698" s="165" t="s">
        <v>144</v>
      </c>
      <c r="I698" s="165" t="s">
        <v>145</v>
      </c>
      <c r="J698" s="301"/>
      <c r="L698" s="758"/>
    </row>
    <row r="699" spans="1:12" s="185" customFormat="1" ht="15" customHeight="1" outlineLevel="1">
      <c r="A699" s="167"/>
      <c r="B699" s="165" t="s">
        <v>146</v>
      </c>
      <c r="C699" s="168" t="s">
        <v>147</v>
      </c>
      <c r="D699" s="169"/>
      <c r="E699" s="170"/>
      <c r="F699" s="170"/>
      <c r="G699" s="302"/>
      <c r="H699" s="171"/>
      <c r="I699" s="171"/>
      <c r="J699" s="301"/>
      <c r="L699" s="758"/>
    </row>
    <row r="700" spans="1:12" s="185" customFormat="1" ht="15" customHeight="1" outlineLevel="1">
      <c r="A700" s="167"/>
      <c r="B700" s="165"/>
      <c r="C700" s="168" t="s">
        <v>77</v>
      </c>
      <c r="D700" s="169"/>
      <c r="E700" s="165" t="s">
        <v>148</v>
      </c>
      <c r="F700" s="165" t="s">
        <v>76</v>
      </c>
      <c r="G700" s="293">
        <v>2.5000000000000001E-2</v>
      </c>
      <c r="H700" s="174">
        <f>VLOOKUP(C700,'UPAH-BAHAN'!D:F,2,0)</f>
        <v>120000</v>
      </c>
      <c r="I700" s="175">
        <f>G700*H700</f>
        <v>3000</v>
      </c>
      <c r="J700" s="301"/>
      <c r="L700" s="758"/>
    </row>
    <row r="701" spans="1:12" s="185" customFormat="1" ht="15" customHeight="1" outlineLevel="1">
      <c r="A701" s="167"/>
      <c r="B701" s="165"/>
      <c r="C701" s="168" t="s">
        <v>97</v>
      </c>
      <c r="D701" s="169"/>
      <c r="E701" s="165" t="s">
        <v>149</v>
      </c>
      <c r="F701" s="165" t="s">
        <v>76</v>
      </c>
      <c r="G701" s="293">
        <v>0.25</v>
      </c>
      <c r="H701" s="174">
        <f>VLOOKUP(C701,'UPAH-BAHAN'!D:F,2,0)</f>
        <v>160000</v>
      </c>
      <c r="I701" s="175">
        <f>G701*H701</f>
        <v>40000</v>
      </c>
      <c r="J701" s="301"/>
      <c r="L701" s="758"/>
    </row>
    <row r="702" spans="1:12" s="185" customFormat="1" ht="15" customHeight="1" outlineLevel="1">
      <c r="A702" s="167"/>
      <c r="B702" s="165"/>
      <c r="C702" s="168" t="s">
        <v>99</v>
      </c>
      <c r="D702" s="169"/>
      <c r="E702" s="165" t="s">
        <v>150</v>
      </c>
      <c r="F702" s="165" t="s">
        <v>76</v>
      </c>
      <c r="G702" s="303">
        <v>0.02</v>
      </c>
      <c r="H702" s="174">
        <f>VLOOKUP(C702,'UPAH-BAHAN'!D:F,2,0)</f>
        <v>170000</v>
      </c>
      <c r="I702" s="175">
        <f>G702*H702</f>
        <v>3400</v>
      </c>
      <c r="J702" s="301"/>
      <c r="L702" s="758"/>
    </row>
    <row r="703" spans="1:12" s="185" customFormat="1" ht="15" customHeight="1" outlineLevel="1">
      <c r="A703" s="167"/>
      <c r="B703" s="165"/>
      <c r="C703" s="168" t="s">
        <v>80</v>
      </c>
      <c r="D703" s="169"/>
      <c r="E703" s="165" t="s">
        <v>151</v>
      </c>
      <c r="F703" s="165" t="s">
        <v>76</v>
      </c>
      <c r="G703" s="293">
        <v>1E-3</v>
      </c>
      <c r="H703" s="174">
        <f>VLOOKUP(C703,'UPAH-BAHAN'!D:F,2,0)</f>
        <v>225000</v>
      </c>
      <c r="I703" s="175">
        <f>G703*H703</f>
        <v>225</v>
      </c>
      <c r="J703" s="301"/>
      <c r="L703" s="758"/>
    </row>
    <row r="704" spans="1:12" s="185" customFormat="1" ht="15" customHeight="1" outlineLevel="1">
      <c r="A704" s="167"/>
      <c r="B704" s="165"/>
      <c r="C704" s="168"/>
      <c r="D704" s="169"/>
      <c r="E704" s="170"/>
      <c r="F704" s="170"/>
      <c r="G704" s="303" t="s">
        <v>171</v>
      </c>
      <c r="H704" s="177"/>
      <c r="I704" s="175">
        <f>SUM(I700:I703)</f>
        <v>46625</v>
      </c>
      <c r="J704" s="301"/>
      <c r="L704" s="758"/>
    </row>
    <row r="705" spans="1:12" s="185" customFormat="1" ht="15" customHeight="1" outlineLevel="1">
      <c r="A705" s="167"/>
      <c r="B705" s="165" t="s">
        <v>153</v>
      </c>
      <c r="C705" s="168" t="s">
        <v>154</v>
      </c>
      <c r="D705" s="169"/>
      <c r="E705" s="170"/>
      <c r="F705" s="170"/>
      <c r="G705" s="303"/>
      <c r="H705" s="175"/>
      <c r="I705" s="175"/>
      <c r="J705" s="301"/>
      <c r="L705" s="758"/>
    </row>
    <row r="706" spans="1:12" s="185" customFormat="1" ht="15" customHeight="1" outlineLevel="1">
      <c r="A706" s="167"/>
      <c r="B706" s="165"/>
      <c r="C706" s="168" t="s">
        <v>864</v>
      </c>
      <c r="D706" s="169"/>
      <c r="E706" s="170"/>
      <c r="F706" s="165" t="s">
        <v>22</v>
      </c>
      <c r="G706" s="293">
        <v>1</v>
      </c>
      <c r="H706" s="174">
        <f>VLOOKUP(C706,'UPAH-BAHAN'!D:F,2,0)</f>
        <v>300000</v>
      </c>
      <c r="I706" s="175">
        <f>G706*H706</f>
        <v>300000</v>
      </c>
      <c r="J706" s="301"/>
      <c r="L706" s="758"/>
    </row>
    <row r="707" spans="1:12" s="185" customFormat="1" ht="15" customHeight="1" outlineLevel="1">
      <c r="A707" s="167"/>
      <c r="B707" s="165"/>
      <c r="C707" s="168"/>
      <c r="D707" s="169"/>
      <c r="E707" s="170"/>
      <c r="F707" s="170"/>
      <c r="G707" s="303" t="s">
        <v>172</v>
      </c>
      <c r="H707" s="175"/>
      <c r="I707" s="175">
        <f>SUM(I706:I706)</f>
        <v>300000</v>
      </c>
      <c r="J707" s="301"/>
      <c r="L707" s="758"/>
    </row>
    <row r="708" spans="1:12" s="185" customFormat="1" ht="15" customHeight="1" outlineLevel="1">
      <c r="A708" s="167"/>
      <c r="B708" s="165" t="s">
        <v>157</v>
      </c>
      <c r="C708" s="168" t="s">
        <v>158</v>
      </c>
      <c r="D708" s="169"/>
      <c r="E708" s="170"/>
      <c r="F708" s="170"/>
      <c r="G708" s="302"/>
      <c r="H708" s="175"/>
      <c r="I708" s="175"/>
      <c r="J708" s="301"/>
      <c r="L708" s="758"/>
    </row>
    <row r="709" spans="1:12" s="185" customFormat="1" ht="15" customHeight="1" outlineLevel="1">
      <c r="A709" s="167"/>
      <c r="B709" s="165"/>
      <c r="C709" s="168"/>
      <c r="D709" s="169"/>
      <c r="E709" s="170"/>
      <c r="F709" s="170"/>
      <c r="G709" s="302"/>
      <c r="H709" s="175"/>
      <c r="I709" s="175"/>
      <c r="J709" s="301"/>
      <c r="L709" s="758"/>
    </row>
    <row r="710" spans="1:12" s="185" customFormat="1" ht="15" customHeight="1" outlineLevel="1">
      <c r="A710" s="167"/>
      <c r="B710" s="165"/>
      <c r="C710" s="176"/>
      <c r="D710" s="169"/>
      <c r="E710" s="170"/>
      <c r="F710" s="170"/>
      <c r="G710" s="303" t="s">
        <v>159</v>
      </c>
      <c r="H710" s="175"/>
      <c r="I710" s="175">
        <f>I709</f>
        <v>0</v>
      </c>
      <c r="J710" s="301"/>
      <c r="L710" s="758"/>
    </row>
    <row r="711" spans="1:12" s="185" customFormat="1" ht="15" customHeight="1" outlineLevel="1">
      <c r="A711" s="167"/>
      <c r="B711" s="170"/>
      <c r="C711" s="227"/>
      <c r="D711" s="228"/>
      <c r="E711" s="170"/>
      <c r="F711" s="170"/>
      <c r="G711" s="302"/>
      <c r="H711" s="175"/>
      <c r="I711" s="175"/>
      <c r="J711" s="301"/>
      <c r="L711" s="758"/>
    </row>
    <row r="712" spans="1:12" s="185" customFormat="1" ht="15" customHeight="1" outlineLevel="1">
      <c r="A712" s="167"/>
      <c r="B712" s="165" t="s">
        <v>160</v>
      </c>
      <c r="C712" s="168" t="s">
        <v>161</v>
      </c>
      <c r="D712" s="169"/>
      <c r="E712" s="171"/>
      <c r="F712" s="171"/>
      <c r="G712" s="293"/>
      <c r="H712" s="175"/>
      <c r="I712" s="175">
        <f>I710+I707+I704</f>
        <v>346625</v>
      </c>
      <c r="J712" s="301"/>
      <c r="L712" s="758"/>
    </row>
    <row r="713" spans="1:12" s="185" customFormat="1" ht="15" customHeight="1" outlineLevel="1">
      <c r="A713" s="167"/>
      <c r="B713" s="165" t="s">
        <v>162</v>
      </c>
      <c r="C713" s="168" t="s">
        <v>82</v>
      </c>
      <c r="D713" s="169"/>
      <c r="E713" s="194"/>
      <c r="F713" s="179"/>
      <c r="G713" s="180">
        <f>$J$3</f>
        <v>0.15</v>
      </c>
      <c r="H713" s="171"/>
      <c r="I713" s="175">
        <f>I712*G713</f>
        <v>51993.75</v>
      </c>
      <c r="J713" s="172"/>
      <c r="L713" s="758"/>
    </row>
    <row r="714" spans="1:12" s="185" customFormat="1" ht="15" customHeight="1" outlineLevel="1">
      <c r="A714" s="167"/>
      <c r="B714" s="165" t="s">
        <v>163</v>
      </c>
      <c r="C714" s="168" t="s">
        <v>164</v>
      </c>
      <c r="D714" s="169"/>
      <c r="E714" s="171"/>
      <c r="F714" s="171"/>
      <c r="G714" s="293"/>
      <c r="H714" s="291"/>
      <c r="I714" s="175">
        <f>I712+I713</f>
        <v>398618.75</v>
      </c>
      <c r="J714" s="301"/>
      <c r="L714" s="758"/>
    </row>
    <row r="715" spans="1:12" outlineLevel="1">
      <c r="B715" s="184"/>
      <c r="D715" s="186"/>
      <c r="E715" s="186"/>
      <c r="F715" s="186"/>
      <c r="G715" s="184"/>
      <c r="H715" s="204"/>
      <c r="I715" s="204"/>
    </row>
    <row r="716" spans="1:12" s="185" customFormat="1" ht="15" customHeight="1">
      <c r="A716" s="167" t="str">
        <f>B716</f>
        <v>Hit. PT.02</v>
      </c>
      <c r="B716" s="159" t="s">
        <v>660</v>
      </c>
      <c r="D716" s="167" t="s">
        <v>782</v>
      </c>
      <c r="E716" s="270"/>
      <c r="F716" s="270"/>
      <c r="G716" s="299"/>
      <c r="J716" s="172">
        <f>I734</f>
        <v>1414068.75</v>
      </c>
      <c r="L716" s="758"/>
    </row>
    <row r="717" spans="1:12" s="185" customFormat="1" ht="31.2" outlineLevel="1">
      <c r="A717" s="167"/>
      <c r="B717" s="205" t="s">
        <v>75</v>
      </c>
      <c r="C717" s="340" t="s">
        <v>140</v>
      </c>
      <c r="D717" s="341"/>
      <c r="E717" s="164" t="s">
        <v>141</v>
      </c>
      <c r="F717" s="164" t="s">
        <v>142</v>
      </c>
      <c r="G717" s="300" t="s">
        <v>143</v>
      </c>
      <c r="H717" s="165" t="s">
        <v>144</v>
      </c>
      <c r="I717" s="165" t="s">
        <v>145</v>
      </c>
      <c r="J717" s="301"/>
      <c r="L717" s="758"/>
    </row>
    <row r="718" spans="1:12" s="185" customFormat="1" ht="15" customHeight="1" outlineLevel="1">
      <c r="A718" s="167"/>
      <c r="B718" s="165" t="s">
        <v>146</v>
      </c>
      <c r="C718" s="168" t="s">
        <v>147</v>
      </c>
      <c r="D718" s="169"/>
      <c r="E718" s="170"/>
      <c r="F718" s="170"/>
      <c r="G718" s="302"/>
      <c r="H718" s="171"/>
      <c r="I718" s="171"/>
      <c r="J718" s="301"/>
      <c r="L718" s="758"/>
    </row>
    <row r="719" spans="1:12" s="185" customFormat="1" ht="15" customHeight="1" outlineLevel="1">
      <c r="A719" s="167"/>
      <c r="B719" s="165"/>
      <c r="C719" s="168" t="s">
        <v>77</v>
      </c>
      <c r="D719" s="169"/>
      <c r="E719" s="165" t="s">
        <v>148</v>
      </c>
      <c r="F719" s="165" t="s">
        <v>76</v>
      </c>
      <c r="G719" s="293">
        <v>0.5</v>
      </c>
      <c r="H719" s="174">
        <f>VLOOKUP(C719,'UPAH-BAHAN'!D:F,2,0)</f>
        <v>120000</v>
      </c>
      <c r="I719" s="175">
        <f>G719*H719</f>
        <v>60000</v>
      </c>
      <c r="J719" s="301"/>
      <c r="L719" s="758"/>
    </row>
    <row r="720" spans="1:12" s="185" customFormat="1" ht="15" customHeight="1" outlineLevel="1">
      <c r="A720" s="167"/>
      <c r="B720" s="165"/>
      <c r="C720" s="168" t="s">
        <v>97</v>
      </c>
      <c r="D720" s="169"/>
      <c r="E720" s="165" t="s">
        <v>149</v>
      </c>
      <c r="F720" s="165" t="s">
        <v>76</v>
      </c>
      <c r="G720" s="293">
        <v>0.5</v>
      </c>
      <c r="H720" s="174">
        <f>VLOOKUP(C720,'UPAH-BAHAN'!D:F,2,0)</f>
        <v>160000</v>
      </c>
      <c r="I720" s="175">
        <f>G720*H720</f>
        <v>80000</v>
      </c>
      <c r="J720" s="301"/>
      <c r="L720" s="758"/>
    </row>
    <row r="721" spans="1:12" s="185" customFormat="1" ht="15" customHeight="1" outlineLevel="1">
      <c r="A721" s="167"/>
      <c r="B721" s="165"/>
      <c r="C721" s="168" t="s">
        <v>99</v>
      </c>
      <c r="D721" s="169"/>
      <c r="E721" s="165" t="s">
        <v>150</v>
      </c>
      <c r="F721" s="165" t="s">
        <v>76</v>
      </c>
      <c r="G721" s="303">
        <v>0.05</v>
      </c>
      <c r="H721" s="174">
        <f>VLOOKUP(C721,'UPAH-BAHAN'!D:F,2,0)</f>
        <v>170000</v>
      </c>
      <c r="I721" s="175">
        <f>G721*H721</f>
        <v>8500</v>
      </c>
      <c r="J721" s="301"/>
      <c r="L721" s="758"/>
    </row>
    <row r="722" spans="1:12" s="185" customFormat="1" ht="15" customHeight="1" outlineLevel="1">
      <c r="A722" s="167"/>
      <c r="B722" s="165"/>
      <c r="C722" s="168" t="s">
        <v>80</v>
      </c>
      <c r="D722" s="169"/>
      <c r="E722" s="165" t="s">
        <v>151</v>
      </c>
      <c r="F722" s="165" t="s">
        <v>76</v>
      </c>
      <c r="G722" s="293">
        <v>5.0000000000000001E-3</v>
      </c>
      <c r="H722" s="174">
        <f>VLOOKUP(C722,'UPAH-BAHAN'!D:F,2,0)</f>
        <v>225000</v>
      </c>
      <c r="I722" s="175">
        <f>G722*H722</f>
        <v>1125</v>
      </c>
      <c r="J722" s="301"/>
      <c r="L722" s="758"/>
    </row>
    <row r="723" spans="1:12" s="185" customFormat="1" ht="15" customHeight="1" outlineLevel="1">
      <c r="A723" s="167"/>
      <c r="B723" s="165"/>
      <c r="C723" s="168"/>
      <c r="D723" s="169"/>
      <c r="E723" s="170"/>
      <c r="F723" s="170"/>
      <c r="G723" s="303" t="s">
        <v>171</v>
      </c>
      <c r="H723" s="177"/>
      <c r="I723" s="175">
        <f>SUM(I719:I722)</f>
        <v>149625</v>
      </c>
      <c r="J723" s="301"/>
      <c r="L723" s="758"/>
    </row>
    <row r="724" spans="1:12" s="185" customFormat="1" ht="15" customHeight="1" outlineLevel="1">
      <c r="A724" s="167"/>
      <c r="B724" s="165" t="s">
        <v>153</v>
      </c>
      <c r="C724" s="168" t="s">
        <v>154</v>
      </c>
      <c r="D724" s="169"/>
      <c r="E724" s="170"/>
      <c r="F724" s="170"/>
      <c r="G724" s="303"/>
      <c r="H724" s="175"/>
      <c r="I724" s="175"/>
      <c r="J724" s="301"/>
      <c r="L724" s="758"/>
    </row>
    <row r="725" spans="1:12" s="185" customFormat="1" ht="15" customHeight="1" outlineLevel="1">
      <c r="A725" s="167"/>
      <c r="B725" s="165"/>
      <c r="C725" s="168" t="s">
        <v>783</v>
      </c>
      <c r="D725" s="169"/>
      <c r="E725" s="170"/>
      <c r="F725" s="165" t="s">
        <v>23</v>
      </c>
      <c r="G725" s="293">
        <v>1</v>
      </c>
      <c r="H725" s="174">
        <f>VLOOKUP(C725,'UPAH-BAHAN'!D:F,2,0)</f>
        <v>800000</v>
      </c>
      <c r="I725" s="175">
        <f>G725*H725</f>
        <v>800000</v>
      </c>
      <c r="J725" s="301"/>
      <c r="L725" s="758"/>
    </row>
    <row r="726" spans="1:12" s="185" customFormat="1" ht="15" customHeight="1" outlineLevel="1">
      <c r="A726" s="167"/>
      <c r="B726" s="165"/>
      <c r="C726" s="168" t="s">
        <v>614</v>
      </c>
      <c r="D726" s="169"/>
      <c r="E726" s="165"/>
      <c r="F726" s="165" t="s">
        <v>615</v>
      </c>
      <c r="G726" s="173">
        <v>0.35</v>
      </c>
      <c r="H726" s="174">
        <f>H725</f>
        <v>800000</v>
      </c>
      <c r="I726" s="175">
        <f>G726*H726</f>
        <v>280000</v>
      </c>
      <c r="J726" s="301"/>
      <c r="L726" s="758"/>
    </row>
    <row r="727" spans="1:12" s="185" customFormat="1" ht="15" customHeight="1" outlineLevel="1">
      <c r="A727" s="167"/>
      <c r="B727" s="165"/>
      <c r="C727" s="168"/>
      <c r="D727" s="169"/>
      <c r="E727" s="170"/>
      <c r="F727" s="170"/>
      <c r="G727" s="303" t="s">
        <v>172</v>
      </c>
      <c r="H727" s="175"/>
      <c r="I727" s="175">
        <f>SUM(I725:I726)</f>
        <v>1080000</v>
      </c>
      <c r="J727" s="301"/>
      <c r="L727" s="758"/>
    </row>
    <row r="728" spans="1:12" s="185" customFormat="1" ht="15" customHeight="1" outlineLevel="1">
      <c r="A728" s="167"/>
      <c r="B728" s="165" t="s">
        <v>157</v>
      </c>
      <c r="C728" s="168" t="s">
        <v>158</v>
      </c>
      <c r="D728" s="169"/>
      <c r="E728" s="170"/>
      <c r="F728" s="170"/>
      <c r="G728" s="302"/>
      <c r="H728" s="175"/>
      <c r="I728" s="175"/>
      <c r="J728" s="301"/>
      <c r="L728" s="758"/>
    </row>
    <row r="729" spans="1:12" s="185" customFormat="1" ht="15" customHeight="1" outlineLevel="1">
      <c r="A729" s="167"/>
      <c r="B729" s="165"/>
      <c r="C729" s="168"/>
      <c r="D729" s="169"/>
      <c r="E729" s="170"/>
      <c r="F729" s="170"/>
      <c r="G729" s="302"/>
      <c r="H729" s="175"/>
      <c r="I729" s="175"/>
      <c r="J729" s="301"/>
      <c r="L729" s="758"/>
    </row>
    <row r="730" spans="1:12" s="185" customFormat="1" ht="15" customHeight="1" outlineLevel="1">
      <c r="A730" s="167"/>
      <c r="B730" s="165"/>
      <c r="C730" s="176"/>
      <c r="D730" s="169"/>
      <c r="E730" s="170"/>
      <c r="F730" s="170"/>
      <c r="G730" s="303" t="s">
        <v>159</v>
      </c>
      <c r="H730" s="175"/>
      <c r="I730" s="175">
        <f>I729</f>
        <v>0</v>
      </c>
      <c r="J730" s="301"/>
      <c r="L730" s="758"/>
    </row>
    <row r="731" spans="1:12" s="185" customFormat="1" ht="15" customHeight="1" outlineLevel="1">
      <c r="A731" s="167"/>
      <c r="B731" s="170"/>
      <c r="C731" s="227"/>
      <c r="D731" s="228"/>
      <c r="E731" s="170"/>
      <c r="F731" s="170"/>
      <c r="G731" s="302"/>
      <c r="H731" s="175"/>
      <c r="I731" s="175"/>
      <c r="J731" s="301"/>
      <c r="L731" s="758"/>
    </row>
    <row r="732" spans="1:12" s="185" customFormat="1" ht="15" customHeight="1" outlineLevel="1">
      <c r="A732" s="167"/>
      <c r="B732" s="165" t="s">
        <v>160</v>
      </c>
      <c r="C732" s="168" t="s">
        <v>161</v>
      </c>
      <c r="D732" s="169"/>
      <c r="E732" s="171"/>
      <c r="F732" s="171"/>
      <c r="G732" s="293"/>
      <c r="H732" s="175"/>
      <c r="I732" s="175">
        <f>I730+I727+I723</f>
        <v>1229625</v>
      </c>
      <c r="J732" s="301"/>
      <c r="L732" s="758"/>
    </row>
    <row r="733" spans="1:12" s="185" customFormat="1" ht="15" customHeight="1" outlineLevel="1">
      <c r="A733" s="167"/>
      <c r="B733" s="165" t="s">
        <v>162</v>
      </c>
      <c r="C733" s="168" t="s">
        <v>82</v>
      </c>
      <c r="D733" s="169"/>
      <c r="E733" s="194"/>
      <c r="F733" s="179"/>
      <c r="G733" s="180">
        <f>$J$3</f>
        <v>0.15</v>
      </c>
      <c r="H733" s="171"/>
      <c r="I733" s="175">
        <f>I732*G733</f>
        <v>184443.75</v>
      </c>
      <c r="J733" s="172"/>
      <c r="L733" s="758"/>
    </row>
    <row r="734" spans="1:12" s="185" customFormat="1" ht="15" customHeight="1" outlineLevel="1">
      <c r="A734" s="167"/>
      <c r="B734" s="165" t="s">
        <v>163</v>
      </c>
      <c r="C734" s="168" t="s">
        <v>164</v>
      </c>
      <c r="D734" s="169"/>
      <c r="E734" s="171"/>
      <c r="F734" s="171"/>
      <c r="G734" s="293"/>
      <c r="H734" s="291"/>
      <c r="I734" s="175">
        <f>I732+I733</f>
        <v>1414068.75</v>
      </c>
      <c r="J734" s="301"/>
      <c r="L734" s="758"/>
    </row>
    <row r="735" spans="1:12" outlineLevel="1">
      <c r="B735" s="184"/>
      <c r="D735" s="186"/>
      <c r="E735" s="186"/>
      <c r="F735" s="186"/>
      <c r="G735" s="184"/>
      <c r="H735" s="204"/>
      <c r="I735" s="204"/>
    </row>
    <row r="736" spans="1:12">
      <c r="B736" s="184"/>
      <c r="D736" s="186"/>
      <c r="E736" s="186"/>
      <c r="F736" s="186"/>
      <c r="G736" s="184"/>
      <c r="H736" s="204"/>
      <c r="I736" s="204"/>
    </row>
    <row r="737" spans="1:12" ht="20.399999999999999">
      <c r="A737" s="155"/>
      <c r="B737" s="571" t="s">
        <v>58</v>
      </c>
      <c r="C737" s="156"/>
      <c r="D737" s="156"/>
      <c r="E737" s="156"/>
      <c r="F737" s="156"/>
      <c r="G737" s="712"/>
      <c r="H737" s="157"/>
      <c r="I737" s="156"/>
      <c r="J737" s="158"/>
    </row>
    <row r="738" spans="1:12" s="488" customFormat="1">
      <c r="A738" s="105" t="str">
        <f>B738</f>
        <v>A.4.4.3.33.A</v>
      </c>
      <c r="B738" s="3" t="s">
        <v>618</v>
      </c>
      <c r="C738" s="623"/>
      <c r="D738" s="167" t="s">
        <v>619</v>
      </c>
      <c r="E738" s="347"/>
      <c r="F738" s="347"/>
      <c r="G738" s="12"/>
      <c r="H738" s="498"/>
      <c r="I738" s="347"/>
      <c r="J738" s="282">
        <f>I757</f>
        <v>513423.25</v>
      </c>
      <c r="K738" s="488" t="e">
        <f>VLOOKUP(A738,'[73]REKAP ANL'!B:D,1,0)</f>
        <v>#N/A</v>
      </c>
      <c r="L738" s="759"/>
    </row>
    <row r="739" spans="1:12" s="488" customFormat="1" ht="31.2" outlineLevel="1">
      <c r="A739" s="13"/>
      <c r="B739" s="639" t="s">
        <v>75</v>
      </c>
      <c r="C739" s="1258" t="s">
        <v>140</v>
      </c>
      <c r="D739" s="1259"/>
      <c r="E739" s="639" t="s">
        <v>141</v>
      </c>
      <c r="F739" s="639" t="s">
        <v>142</v>
      </c>
      <c r="G739" s="639" t="s">
        <v>143</v>
      </c>
      <c r="H739" s="640" t="s">
        <v>144</v>
      </c>
      <c r="I739" s="640" t="s">
        <v>145</v>
      </c>
      <c r="J739" s="625"/>
      <c r="L739" s="759"/>
    </row>
    <row r="740" spans="1:12" s="488" customFormat="1" outlineLevel="1">
      <c r="A740" s="3"/>
      <c r="B740" s="640" t="s">
        <v>146</v>
      </c>
      <c r="C740" s="644" t="s">
        <v>147</v>
      </c>
      <c r="D740" s="652"/>
      <c r="E740" s="641"/>
      <c r="F740" s="641"/>
      <c r="G740" s="641"/>
      <c r="H740" s="640"/>
      <c r="I740" s="640"/>
      <c r="J740" s="273"/>
      <c r="L740" s="759"/>
    </row>
    <row r="741" spans="1:12" s="488" customFormat="1" outlineLevel="1">
      <c r="A741" s="3"/>
      <c r="B741" s="640"/>
      <c r="C741" s="644" t="s">
        <v>77</v>
      </c>
      <c r="D741" s="652"/>
      <c r="E741" s="640" t="s">
        <v>148</v>
      </c>
      <c r="F741" s="640" t="s">
        <v>76</v>
      </c>
      <c r="G741" s="642">
        <v>0.7</v>
      </c>
      <c r="H741" s="174">
        <f>VLOOKUP(C741,'UPAH-BAHAN'!D:F,2,0)</f>
        <v>120000</v>
      </c>
      <c r="I741" s="643">
        <f>G741*H741</f>
        <v>84000</v>
      </c>
      <c r="J741" s="273"/>
      <c r="L741" s="759"/>
    </row>
    <row r="742" spans="1:12" s="488" customFormat="1" outlineLevel="1">
      <c r="A742" s="3"/>
      <c r="B742" s="640"/>
      <c r="C742" s="644" t="s">
        <v>96</v>
      </c>
      <c r="D742" s="652"/>
      <c r="E742" s="640" t="s">
        <v>149</v>
      </c>
      <c r="F742" s="640" t="s">
        <v>76</v>
      </c>
      <c r="G742" s="642">
        <v>0.35</v>
      </c>
      <c r="H742" s="174">
        <f>VLOOKUP(C742,'UPAH-BAHAN'!D:F,2,0)</f>
        <v>160000</v>
      </c>
      <c r="I742" s="643">
        <f>G742*H742</f>
        <v>56000</v>
      </c>
      <c r="J742" s="273"/>
      <c r="L742" s="759"/>
    </row>
    <row r="743" spans="1:12" s="488" customFormat="1" outlineLevel="1">
      <c r="A743" s="3"/>
      <c r="B743" s="640"/>
      <c r="C743" s="644" t="s">
        <v>99</v>
      </c>
      <c r="D743" s="652"/>
      <c r="E743" s="640" t="s">
        <v>150</v>
      </c>
      <c r="F743" s="640" t="s">
        <v>76</v>
      </c>
      <c r="G743" s="642">
        <v>3.5000000000000003E-2</v>
      </c>
      <c r="H743" s="174">
        <f>VLOOKUP(C743,'UPAH-BAHAN'!D:F,2,0)</f>
        <v>170000</v>
      </c>
      <c r="I743" s="643">
        <f>G743*H743</f>
        <v>5950.0000000000009</v>
      </c>
      <c r="J743" s="273"/>
      <c r="L743" s="759"/>
    </row>
    <row r="744" spans="1:12" s="488" customFormat="1" outlineLevel="1">
      <c r="A744" s="3"/>
      <c r="B744" s="640"/>
      <c r="C744" s="644" t="s">
        <v>80</v>
      </c>
      <c r="D744" s="652"/>
      <c r="E744" s="640" t="s">
        <v>151</v>
      </c>
      <c r="F744" s="640" t="s">
        <v>76</v>
      </c>
      <c r="G744" s="642">
        <v>3.5000000000000003E-2</v>
      </c>
      <c r="H744" s="174">
        <f>VLOOKUP(C744,'UPAH-BAHAN'!D:F,2,0)</f>
        <v>225000</v>
      </c>
      <c r="I744" s="643">
        <f>G744*H744</f>
        <v>7875.0000000000009</v>
      </c>
      <c r="J744" s="273"/>
      <c r="L744" s="759"/>
    </row>
    <row r="745" spans="1:12" s="488" customFormat="1" outlineLevel="1">
      <c r="A745" s="3"/>
      <c r="B745" s="640"/>
      <c r="C745" s="644"/>
      <c r="D745" s="652"/>
      <c r="E745" s="641"/>
      <c r="F745" s="641"/>
      <c r="G745" s="710" t="s">
        <v>171</v>
      </c>
      <c r="H745" s="643"/>
      <c r="I745" s="643">
        <f>SUM(I741:I744)</f>
        <v>153825</v>
      </c>
      <c r="J745" s="273"/>
      <c r="L745" s="759"/>
    </row>
    <row r="746" spans="1:12" s="488" customFormat="1" outlineLevel="1">
      <c r="A746" s="3"/>
      <c r="B746" s="640" t="s">
        <v>153</v>
      </c>
      <c r="C746" s="644" t="s">
        <v>154</v>
      </c>
      <c r="D746" s="652"/>
      <c r="E746" s="641"/>
      <c r="F746" s="641"/>
      <c r="G746" s="710"/>
      <c r="H746" s="643"/>
      <c r="I746" s="643"/>
      <c r="J746" s="273"/>
      <c r="L746" s="759"/>
    </row>
    <row r="747" spans="1:12" s="488" customFormat="1" outlineLevel="1">
      <c r="A747" s="3"/>
      <c r="B747" s="640"/>
      <c r="C747" s="644" t="s">
        <v>620</v>
      </c>
      <c r="D747" s="652"/>
      <c r="E747" s="641"/>
      <c r="F747" s="640" t="s">
        <v>133</v>
      </c>
      <c r="G747" s="642">
        <f>1.05</f>
        <v>1.05</v>
      </c>
      <c r="H747" s="174">
        <f>VLOOKUP(C747,'UPAH-BAHAN'!D:F,2,0)</f>
        <v>250000</v>
      </c>
      <c r="I747" s="643">
        <f>G747*H747</f>
        <v>262500</v>
      </c>
      <c r="J747" s="273"/>
      <c r="L747" s="759"/>
    </row>
    <row r="748" spans="1:12" s="488" customFormat="1" outlineLevel="1">
      <c r="A748" s="3"/>
      <c r="B748" s="640"/>
      <c r="C748" s="644" t="s">
        <v>87</v>
      </c>
      <c r="D748" s="652"/>
      <c r="E748" s="641"/>
      <c r="F748" s="640" t="s">
        <v>69</v>
      </c>
      <c r="G748" s="642">
        <v>10.4</v>
      </c>
      <c r="H748" s="174">
        <f>VLOOKUP(C748,'UPAH-BAHAN'!D:F,2,0)</f>
        <v>1700</v>
      </c>
      <c r="I748" s="643">
        <f>G748*H748</f>
        <v>17680</v>
      </c>
      <c r="J748" s="273"/>
      <c r="L748" s="759"/>
    </row>
    <row r="749" spans="1:12" s="488" customFormat="1" outlineLevel="1">
      <c r="A749" s="3"/>
      <c r="B749" s="640"/>
      <c r="C749" s="644" t="s">
        <v>111</v>
      </c>
      <c r="D749" s="652"/>
      <c r="E749" s="641"/>
      <c r="F749" s="640" t="s">
        <v>81</v>
      </c>
      <c r="G749" s="642">
        <v>4.4999999999999998E-2</v>
      </c>
      <c r="H749" s="174">
        <f>VLOOKUP(C749,'UPAH-BAHAN'!D:F,2,0)</f>
        <v>150000</v>
      </c>
      <c r="I749" s="643">
        <f>G749*H749</f>
        <v>6750</v>
      </c>
      <c r="J749" s="273"/>
      <c r="L749" s="759"/>
    </row>
    <row r="750" spans="1:12" s="488" customFormat="1" outlineLevel="1">
      <c r="A750" s="3"/>
      <c r="B750" s="640"/>
      <c r="C750" s="644" t="s">
        <v>186</v>
      </c>
      <c r="D750" s="652"/>
      <c r="E750" s="641"/>
      <c r="F750" s="640" t="s">
        <v>69</v>
      </c>
      <c r="G750" s="642">
        <v>1.52</v>
      </c>
      <c r="H750" s="174">
        <f>VLOOKUP(C750,'UPAH-BAHAN'!D:F,2,0)</f>
        <v>3750</v>
      </c>
      <c r="I750" s="643">
        <f>G750*H750</f>
        <v>5700</v>
      </c>
      <c r="J750" s="273"/>
      <c r="L750" s="759"/>
    </row>
    <row r="751" spans="1:12" s="488" customFormat="1" outlineLevel="1">
      <c r="A751" s="3"/>
      <c r="B751" s="640"/>
      <c r="C751" s="644"/>
      <c r="D751" s="652"/>
      <c r="E751" s="641"/>
      <c r="F751" s="641"/>
      <c r="G751" s="710" t="s">
        <v>172</v>
      </c>
      <c r="H751" s="643"/>
      <c r="I751" s="643">
        <f>SUM(I747:I750)</f>
        <v>292630</v>
      </c>
      <c r="J751" s="273"/>
      <c r="L751" s="759"/>
    </row>
    <row r="752" spans="1:12" s="488" customFormat="1" outlineLevel="1">
      <c r="A752" s="3"/>
      <c r="B752" s="640" t="s">
        <v>157</v>
      </c>
      <c r="C752" s="644" t="s">
        <v>158</v>
      </c>
      <c r="D752" s="652"/>
      <c r="E752" s="641"/>
      <c r="F752" s="641"/>
      <c r="G752" s="641"/>
      <c r="H752" s="643"/>
      <c r="I752" s="643"/>
      <c r="J752" s="273"/>
      <c r="L752" s="759"/>
    </row>
    <row r="753" spans="1:12" s="488" customFormat="1" outlineLevel="1">
      <c r="A753" s="3"/>
      <c r="B753" s="640"/>
      <c r="C753" s="644"/>
      <c r="D753" s="652"/>
      <c r="E753" s="641"/>
      <c r="F753" s="641"/>
      <c r="G753" s="641"/>
      <c r="H753" s="643"/>
      <c r="I753" s="643"/>
      <c r="J753" s="273"/>
      <c r="L753" s="759"/>
    </row>
    <row r="754" spans="1:12" s="488" customFormat="1" outlineLevel="1">
      <c r="A754" s="3"/>
      <c r="B754" s="640"/>
      <c r="C754" s="653"/>
      <c r="D754" s="652"/>
      <c r="E754" s="641"/>
      <c r="F754" s="641"/>
      <c r="G754" s="710" t="s">
        <v>159</v>
      </c>
      <c r="H754" s="643"/>
      <c r="I754" s="643">
        <f>I753</f>
        <v>0</v>
      </c>
      <c r="J754" s="273"/>
      <c r="L754" s="759"/>
    </row>
    <row r="755" spans="1:12" s="488" customFormat="1" outlineLevel="1">
      <c r="A755" s="3"/>
      <c r="B755" s="640" t="s">
        <v>160</v>
      </c>
      <c r="C755" s="644" t="s">
        <v>161</v>
      </c>
      <c r="D755" s="652"/>
      <c r="E755" s="645"/>
      <c r="F755" s="645"/>
      <c r="G755" s="640"/>
      <c r="H755" s="643"/>
      <c r="I755" s="643">
        <f>I754+I751+I745</f>
        <v>446455</v>
      </c>
      <c r="J755" s="273"/>
      <c r="L755" s="759"/>
    </row>
    <row r="756" spans="1:12" s="488" customFormat="1" outlineLevel="1">
      <c r="A756" s="3"/>
      <c r="B756" s="640" t="s">
        <v>162</v>
      </c>
      <c r="C756" s="644" t="s">
        <v>82</v>
      </c>
      <c r="D756" s="652"/>
      <c r="E756" s="748"/>
      <c r="F756" s="646"/>
      <c r="G756" s="647">
        <f>$J$3</f>
        <v>0.15</v>
      </c>
      <c r="H756" s="645"/>
      <c r="I756" s="648">
        <f>I755*G756</f>
        <v>66968.25</v>
      </c>
      <c r="J756" s="273"/>
      <c r="L756" s="759"/>
    </row>
    <row r="757" spans="1:12" s="488" customFormat="1" outlineLevel="1">
      <c r="A757" s="3"/>
      <c r="B757" s="640" t="s">
        <v>163</v>
      </c>
      <c r="C757" s="644" t="s">
        <v>164</v>
      </c>
      <c r="D757" s="652"/>
      <c r="E757" s="645"/>
      <c r="F757" s="645"/>
      <c r="G757" s="640"/>
      <c r="H757" s="643"/>
      <c r="I757" s="643">
        <f>I755+I756</f>
        <v>513423.25</v>
      </c>
      <c r="J757" s="273"/>
      <c r="L757" s="759"/>
    </row>
    <row r="758" spans="1:12" s="488" customFormat="1" outlineLevel="1">
      <c r="A758" s="3"/>
      <c r="B758" s="649"/>
      <c r="C758" s="32"/>
      <c r="D758" s="650"/>
      <c r="E758" s="499"/>
      <c r="F758" s="499"/>
      <c r="G758" s="649"/>
      <c r="H758" s="651"/>
      <c r="I758" s="651"/>
      <c r="J758" s="273"/>
      <c r="L758" s="759"/>
    </row>
    <row r="759" spans="1:12" s="488" customFormat="1">
      <c r="A759" s="105" t="str">
        <f>B759</f>
        <v>A.4.4.3.33.B</v>
      </c>
      <c r="B759" s="3" t="s">
        <v>860</v>
      </c>
      <c r="C759" s="623"/>
      <c r="D759" s="167" t="s">
        <v>861</v>
      </c>
      <c r="E759" s="347"/>
      <c r="F759" s="347"/>
      <c r="G759" s="12"/>
      <c r="H759" s="498"/>
      <c r="I759" s="347"/>
      <c r="J759" s="282">
        <f>I778</f>
        <v>563965.75</v>
      </c>
      <c r="K759" s="488" t="e">
        <f>VLOOKUP(A759,'[73]REKAP ANL'!B:D,1,0)</f>
        <v>#N/A</v>
      </c>
      <c r="L759" s="759"/>
    </row>
    <row r="760" spans="1:12" s="488" customFormat="1" ht="31.2" outlineLevel="1">
      <c r="A760" s="13"/>
      <c r="B760" s="639" t="s">
        <v>75</v>
      </c>
      <c r="C760" s="1258" t="s">
        <v>140</v>
      </c>
      <c r="D760" s="1259"/>
      <c r="E760" s="639" t="s">
        <v>141</v>
      </c>
      <c r="F760" s="639" t="s">
        <v>142</v>
      </c>
      <c r="G760" s="639" t="s">
        <v>143</v>
      </c>
      <c r="H760" s="640" t="s">
        <v>144</v>
      </c>
      <c r="I760" s="640" t="s">
        <v>145</v>
      </c>
      <c r="J760" s="625"/>
      <c r="L760" s="759"/>
    </row>
    <row r="761" spans="1:12" s="488" customFormat="1" outlineLevel="1">
      <c r="A761" s="3"/>
      <c r="B761" s="640" t="s">
        <v>146</v>
      </c>
      <c r="C761" s="644" t="s">
        <v>147</v>
      </c>
      <c r="D761" s="652"/>
      <c r="E761" s="641"/>
      <c r="F761" s="641"/>
      <c r="G761" s="641"/>
      <c r="H761" s="640"/>
      <c r="I761" s="640"/>
      <c r="J761" s="273"/>
      <c r="L761" s="759"/>
    </row>
    <row r="762" spans="1:12" s="488" customFormat="1" outlineLevel="1">
      <c r="A762" s="3"/>
      <c r="B762" s="640"/>
      <c r="C762" s="644" t="s">
        <v>77</v>
      </c>
      <c r="D762" s="652"/>
      <c r="E762" s="640" t="s">
        <v>148</v>
      </c>
      <c r="F762" s="640" t="s">
        <v>76</v>
      </c>
      <c r="G762" s="689">
        <v>0.9</v>
      </c>
      <c r="H762" s="174">
        <f>VLOOKUP(C762,'UPAH-BAHAN'!D:F,2,0)</f>
        <v>120000</v>
      </c>
      <c r="I762" s="643">
        <f>G762*H762</f>
        <v>108000</v>
      </c>
      <c r="J762" s="273"/>
      <c r="K762" s="689">
        <v>0.9</v>
      </c>
      <c r="L762" s="759"/>
    </row>
    <row r="763" spans="1:12" s="488" customFormat="1" outlineLevel="1">
      <c r="A763" s="3"/>
      <c r="B763" s="640"/>
      <c r="C763" s="644" t="s">
        <v>96</v>
      </c>
      <c r="D763" s="652"/>
      <c r="E763" s="640" t="s">
        <v>149</v>
      </c>
      <c r="F763" s="640" t="s">
        <v>76</v>
      </c>
      <c r="G763" s="689">
        <v>0.45</v>
      </c>
      <c r="H763" s="174">
        <f>VLOOKUP(C763,'UPAH-BAHAN'!D:F,2,0)</f>
        <v>160000</v>
      </c>
      <c r="I763" s="643">
        <f>G763*H763</f>
        <v>72000</v>
      </c>
      <c r="J763" s="273"/>
      <c r="K763" s="689">
        <v>0.45</v>
      </c>
      <c r="L763" s="759"/>
    </row>
    <row r="764" spans="1:12" s="488" customFormat="1" outlineLevel="1">
      <c r="A764" s="3"/>
      <c r="B764" s="640"/>
      <c r="C764" s="644" t="s">
        <v>99</v>
      </c>
      <c r="D764" s="652"/>
      <c r="E764" s="640" t="s">
        <v>150</v>
      </c>
      <c r="F764" s="640" t="s">
        <v>76</v>
      </c>
      <c r="G764" s="659">
        <v>4.4999999999999998E-2</v>
      </c>
      <c r="H764" s="174">
        <f>VLOOKUP(C764,'UPAH-BAHAN'!D:F,2,0)</f>
        <v>170000</v>
      </c>
      <c r="I764" s="643">
        <f>G764*H764</f>
        <v>7650</v>
      </c>
      <c r="J764" s="273"/>
      <c r="K764" s="659">
        <v>4.4999999999999998E-2</v>
      </c>
      <c r="L764" s="759"/>
    </row>
    <row r="765" spans="1:12" s="488" customFormat="1" outlineLevel="1">
      <c r="A765" s="3"/>
      <c r="B765" s="640"/>
      <c r="C765" s="644" t="s">
        <v>80</v>
      </c>
      <c r="D765" s="652"/>
      <c r="E765" s="640" t="s">
        <v>151</v>
      </c>
      <c r="F765" s="640" t="s">
        <v>76</v>
      </c>
      <c r="G765" s="659">
        <v>4.4999999999999998E-2</v>
      </c>
      <c r="H765" s="174">
        <f>VLOOKUP(C765,'UPAH-BAHAN'!D:F,2,0)</f>
        <v>225000</v>
      </c>
      <c r="I765" s="643">
        <f>G765*H765</f>
        <v>10125</v>
      </c>
      <c r="J765" s="273"/>
      <c r="K765" s="659">
        <v>4.4999999999999998E-2</v>
      </c>
      <c r="L765" s="759"/>
    </row>
    <row r="766" spans="1:12" s="488" customFormat="1" outlineLevel="1">
      <c r="A766" s="3"/>
      <c r="B766" s="640"/>
      <c r="C766" s="644"/>
      <c r="D766" s="652"/>
      <c r="E766" s="641"/>
      <c r="F766" s="641"/>
      <c r="G766" s="710" t="s">
        <v>171</v>
      </c>
      <c r="H766" s="643"/>
      <c r="I766" s="643">
        <f>SUM(I762:I765)</f>
        <v>197775</v>
      </c>
      <c r="J766" s="273"/>
      <c r="L766" s="759"/>
    </row>
    <row r="767" spans="1:12" s="488" customFormat="1" outlineLevel="1">
      <c r="A767" s="3"/>
      <c r="B767" s="640" t="s">
        <v>153</v>
      </c>
      <c r="C767" s="644" t="s">
        <v>154</v>
      </c>
      <c r="D767" s="652"/>
      <c r="E767" s="641"/>
      <c r="F767" s="641"/>
      <c r="G767" s="710"/>
      <c r="H767" s="643"/>
      <c r="I767" s="643"/>
      <c r="J767" s="273"/>
      <c r="L767" s="759"/>
    </row>
    <row r="768" spans="1:12" s="488" customFormat="1" outlineLevel="1">
      <c r="A768" s="3"/>
      <c r="B768" s="640"/>
      <c r="C768" s="644" t="s">
        <v>620</v>
      </c>
      <c r="D768" s="652"/>
      <c r="E768" s="641"/>
      <c r="F768" s="640" t="s">
        <v>133</v>
      </c>
      <c r="G768" s="642">
        <f>1.05</f>
        <v>1.05</v>
      </c>
      <c r="H768" s="174">
        <f>VLOOKUP(C768,'UPAH-BAHAN'!D:F,2,0)</f>
        <v>250000</v>
      </c>
      <c r="I768" s="643">
        <f>G768*H768</f>
        <v>262500</v>
      </c>
      <c r="J768" s="273"/>
      <c r="L768" s="759"/>
    </row>
    <row r="769" spans="1:12" s="488" customFormat="1" outlineLevel="1">
      <c r="A769" s="3"/>
      <c r="B769" s="640"/>
      <c r="C769" s="644" t="s">
        <v>87</v>
      </c>
      <c r="D769" s="652"/>
      <c r="E769" s="641"/>
      <c r="F769" s="640" t="s">
        <v>69</v>
      </c>
      <c r="G769" s="642">
        <v>10.4</v>
      </c>
      <c r="H769" s="174">
        <f>VLOOKUP(C769,'UPAH-BAHAN'!D:F,2,0)</f>
        <v>1700</v>
      </c>
      <c r="I769" s="643">
        <f>G769*H769</f>
        <v>17680</v>
      </c>
      <c r="J769" s="273"/>
      <c r="L769" s="759"/>
    </row>
    <row r="770" spans="1:12" s="488" customFormat="1" outlineLevel="1">
      <c r="A770" s="3"/>
      <c r="B770" s="640"/>
      <c r="C770" s="644" t="s">
        <v>111</v>
      </c>
      <c r="D770" s="652"/>
      <c r="E770" s="641"/>
      <c r="F770" s="640" t="s">
        <v>81</v>
      </c>
      <c r="G770" s="642">
        <v>4.4999999999999998E-2</v>
      </c>
      <c r="H770" s="174">
        <f>VLOOKUP(C770,'UPAH-BAHAN'!D:F,2,0)</f>
        <v>150000</v>
      </c>
      <c r="I770" s="643">
        <f>G770*H770</f>
        <v>6750</v>
      </c>
      <c r="J770" s="273"/>
      <c r="L770" s="759"/>
    </row>
    <row r="771" spans="1:12" s="488" customFormat="1" outlineLevel="1">
      <c r="A771" s="3"/>
      <c r="B771" s="640"/>
      <c r="C771" s="644" t="s">
        <v>186</v>
      </c>
      <c r="D771" s="652"/>
      <c r="E771" s="641"/>
      <c r="F771" s="640" t="s">
        <v>69</v>
      </c>
      <c r="G771" s="642">
        <v>1.52</v>
      </c>
      <c r="H771" s="174">
        <f>VLOOKUP(C771,'UPAH-BAHAN'!D:F,2,0)</f>
        <v>3750</v>
      </c>
      <c r="I771" s="643">
        <f>G771*H771</f>
        <v>5700</v>
      </c>
      <c r="J771" s="273"/>
      <c r="L771" s="759"/>
    </row>
    <row r="772" spans="1:12" s="488" customFormat="1" outlineLevel="1">
      <c r="A772" s="3"/>
      <c r="B772" s="640"/>
      <c r="C772" s="644"/>
      <c r="D772" s="652"/>
      <c r="E772" s="641"/>
      <c r="F772" s="641"/>
      <c r="G772" s="710" t="s">
        <v>172</v>
      </c>
      <c r="H772" s="643"/>
      <c r="I772" s="643">
        <f>SUM(I768:I771)</f>
        <v>292630</v>
      </c>
      <c r="J772" s="273"/>
      <c r="L772" s="759"/>
    </row>
    <row r="773" spans="1:12" s="488" customFormat="1" outlineLevel="1">
      <c r="A773" s="3"/>
      <c r="B773" s="640" t="s">
        <v>157</v>
      </c>
      <c r="C773" s="644" t="s">
        <v>158</v>
      </c>
      <c r="D773" s="652"/>
      <c r="E773" s="641"/>
      <c r="F773" s="641"/>
      <c r="G773" s="641"/>
      <c r="H773" s="643"/>
      <c r="I773" s="643"/>
      <c r="J773" s="273"/>
      <c r="L773" s="759"/>
    </row>
    <row r="774" spans="1:12" s="488" customFormat="1" outlineLevel="1">
      <c r="A774" s="3"/>
      <c r="B774" s="640"/>
      <c r="C774" s="644"/>
      <c r="D774" s="652"/>
      <c r="E774" s="641"/>
      <c r="F774" s="641"/>
      <c r="G774" s="641"/>
      <c r="H774" s="643"/>
      <c r="I774" s="643"/>
      <c r="J774" s="273"/>
      <c r="L774" s="759"/>
    </row>
    <row r="775" spans="1:12" s="488" customFormat="1" outlineLevel="1">
      <c r="A775" s="3"/>
      <c r="B775" s="640"/>
      <c r="C775" s="653"/>
      <c r="D775" s="652"/>
      <c r="E775" s="641"/>
      <c r="F775" s="641"/>
      <c r="G775" s="710" t="s">
        <v>159</v>
      </c>
      <c r="H775" s="643"/>
      <c r="I775" s="643">
        <f>I774</f>
        <v>0</v>
      </c>
      <c r="J775" s="273"/>
      <c r="L775" s="759"/>
    </row>
    <row r="776" spans="1:12" s="488" customFormat="1" outlineLevel="1">
      <c r="A776" s="3"/>
      <c r="B776" s="640" t="s">
        <v>160</v>
      </c>
      <c r="C776" s="644" t="s">
        <v>161</v>
      </c>
      <c r="D776" s="652"/>
      <c r="E776" s="645"/>
      <c r="F776" s="645"/>
      <c r="G776" s="640"/>
      <c r="H776" s="643"/>
      <c r="I776" s="643">
        <f>I775+I772+I766</f>
        <v>490405</v>
      </c>
      <c r="J776" s="273"/>
      <c r="L776" s="759"/>
    </row>
    <row r="777" spans="1:12" s="488" customFormat="1" outlineLevel="1">
      <c r="A777" s="3"/>
      <c r="B777" s="640" t="s">
        <v>162</v>
      </c>
      <c r="C777" s="644" t="s">
        <v>82</v>
      </c>
      <c r="D777" s="652"/>
      <c r="E777" s="748"/>
      <c r="F777" s="646"/>
      <c r="G777" s="647">
        <f>$J$3</f>
        <v>0.15</v>
      </c>
      <c r="H777" s="645"/>
      <c r="I777" s="648">
        <f>I776*G777</f>
        <v>73560.75</v>
      </c>
      <c r="J777" s="273"/>
      <c r="L777" s="759"/>
    </row>
    <row r="778" spans="1:12" s="488" customFormat="1" outlineLevel="1">
      <c r="A778" s="3"/>
      <c r="B778" s="640" t="s">
        <v>163</v>
      </c>
      <c r="C778" s="644" t="s">
        <v>164</v>
      </c>
      <c r="D778" s="652"/>
      <c r="E778" s="645"/>
      <c r="F778" s="645"/>
      <c r="G778" s="640"/>
      <c r="H778" s="643"/>
      <c r="I778" s="643">
        <f>I776+I777</f>
        <v>563965.75</v>
      </c>
      <c r="J778" s="273"/>
      <c r="L778" s="759"/>
    </row>
    <row r="779" spans="1:12" s="488" customFormat="1" outlineLevel="1">
      <c r="A779" s="3"/>
      <c r="B779" s="649"/>
      <c r="C779" s="32"/>
      <c r="D779" s="650"/>
      <c r="E779" s="499"/>
      <c r="F779" s="499"/>
      <c r="G779" s="649"/>
      <c r="H779" s="651"/>
      <c r="I779" s="651"/>
      <c r="J779" s="273"/>
      <c r="L779" s="759"/>
    </row>
    <row r="780" spans="1:12">
      <c r="A780" s="159" t="str">
        <f>B780</f>
        <v>A.4.4.3.35.</v>
      </c>
      <c r="B780" s="167" t="s">
        <v>689</v>
      </c>
      <c r="C780" s="160"/>
      <c r="D780" s="167" t="s">
        <v>187</v>
      </c>
      <c r="E780" s="160"/>
      <c r="F780" s="160"/>
      <c r="H780" s="161"/>
      <c r="I780" s="160"/>
      <c r="J780" s="162">
        <f>I799</f>
        <v>309005</v>
      </c>
    </row>
    <row r="781" spans="1:12" ht="31.2" outlineLevel="1">
      <c r="A781" s="163"/>
      <c r="B781" s="164" t="s">
        <v>75</v>
      </c>
      <c r="C781" s="1254" t="s">
        <v>140</v>
      </c>
      <c r="D781" s="1255"/>
      <c r="E781" s="164" t="s">
        <v>141</v>
      </c>
      <c r="F781" s="164" t="s">
        <v>142</v>
      </c>
      <c r="G781" s="164" t="s">
        <v>143</v>
      </c>
      <c r="H781" s="165" t="s">
        <v>144</v>
      </c>
      <c r="I781" s="165" t="s">
        <v>145</v>
      </c>
      <c r="J781" s="166"/>
    </row>
    <row r="782" spans="1:12" outlineLevel="1">
      <c r="B782" s="165" t="s">
        <v>146</v>
      </c>
      <c r="C782" s="168" t="s">
        <v>147</v>
      </c>
      <c r="D782" s="169"/>
      <c r="E782" s="170"/>
      <c r="F782" s="170"/>
      <c r="G782" s="170"/>
      <c r="H782" s="165"/>
      <c r="I782" s="165"/>
    </row>
    <row r="783" spans="1:12" outlineLevel="1">
      <c r="B783" s="165"/>
      <c r="C783" s="168" t="s">
        <v>77</v>
      </c>
      <c r="D783" s="169"/>
      <c r="E783" s="165" t="s">
        <v>148</v>
      </c>
      <c r="F783" s="165" t="s">
        <v>76</v>
      </c>
      <c r="G783" s="173">
        <v>0.7</v>
      </c>
      <c r="H783" s="174">
        <f>VLOOKUP(C783,'UPAH-BAHAN'!D:F,2,0)</f>
        <v>120000</v>
      </c>
      <c r="I783" s="177">
        <f>G783*H783</f>
        <v>84000</v>
      </c>
    </row>
    <row r="784" spans="1:12" outlineLevel="1">
      <c r="B784" s="165"/>
      <c r="C784" s="168" t="s">
        <v>96</v>
      </c>
      <c r="D784" s="169"/>
      <c r="E784" s="165" t="s">
        <v>149</v>
      </c>
      <c r="F784" s="165" t="s">
        <v>76</v>
      </c>
      <c r="G784" s="173">
        <v>0.35</v>
      </c>
      <c r="H784" s="174">
        <f>VLOOKUP(C784,'UPAH-BAHAN'!D:F,2,0)</f>
        <v>160000</v>
      </c>
      <c r="I784" s="177">
        <f>G784*H784</f>
        <v>56000</v>
      </c>
    </row>
    <row r="785" spans="2:9" outlineLevel="1">
      <c r="B785" s="165"/>
      <c r="C785" s="168" t="s">
        <v>99</v>
      </c>
      <c r="D785" s="169"/>
      <c r="E785" s="165" t="s">
        <v>150</v>
      </c>
      <c r="F785" s="165" t="s">
        <v>76</v>
      </c>
      <c r="G785" s="165">
        <v>3.5000000000000003E-2</v>
      </c>
      <c r="H785" s="174">
        <f>VLOOKUP(C785,'UPAH-BAHAN'!D:F,2,0)</f>
        <v>170000</v>
      </c>
      <c r="I785" s="177">
        <f>G785*H785</f>
        <v>5950.0000000000009</v>
      </c>
    </row>
    <row r="786" spans="2:9" outlineLevel="1">
      <c r="B786" s="165"/>
      <c r="C786" s="168" t="s">
        <v>80</v>
      </c>
      <c r="D786" s="169"/>
      <c r="E786" s="165" t="s">
        <v>151</v>
      </c>
      <c r="F786" s="165" t="s">
        <v>76</v>
      </c>
      <c r="G786" s="165">
        <v>3.5000000000000003E-2</v>
      </c>
      <c r="H786" s="174">
        <f>VLOOKUP(C786,'UPAH-BAHAN'!D:F,2,0)</f>
        <v>225000</v>
      </c>
      <c r="I786" s="177">
        <f>G786*H786</f>
        <v>7875.0000000000009</v>
      </c>
    </row>
    <row r="787" spans="2:9" outlineLevel="1">
      <c r="B787" s="165"/>
      <c r="C787" s="168"/>
      <c r="D787" s="169"/>
      <c r="E787" s="170"/>
      <c r="F787" s="170"/>
      <c r="G787" s="340" t="s">
        <v>171</v>
      </c>
      <c r="H787" s="177"/>
      <c r="I787" s="177">
        <f>SUM(I783:I786)</f>
        <v>153825</v>
      </c>
    </row>
    <row r="788" spans="2:9" outlineLevel="1">
      <c r="B788" s="165" t="s">
        <v>153</v>
      </c>
      <c r="C788" s="168" t="s">
        <v>154</v>
      </c>
      <c r="D788" s="169"/>
      <c r="E788" s="170"/>
      <c r="F788" s="170"/>
      <c r="G788" s="340"/>
      <c r="H788" s="177"/>
      <c r="I788" s="177"/>
    </row>
    <row r="789" spans="2:9" outlineLevel="1">
      <c r="B789" s="165"/>
      <c r="C789" s="168" t="s">
        <v>188</v>
      </c>
      <c r="D789" s="169"/>
      <c r="E789" s="170"/>
      <c r="F789" s="165" t="s">
        <v>185</v>
      </c>
      <c r="G789" s="173">
        <v>1.05</v>
      </c>
      <c r="H789" s="174">
        <f>VLOOKUP(C789,'UPAH-BAHAN'!D:F,2,0)</f>
        <v>85000</v>
      </c>
      <c r="I789" s="177">
        <f>G789*H789</f>
        <v>89250</v>
      </c>
    </row>
    <row r="790" spans="2:9" outlineLevel="1">
      <c r="B790" s="165"/>
      <c r="C790" s="168" t="s">
        <v>87</v>
      </c>
      <c r="D790" s="169"/>
      <c r="E790" s="170"/>
      <c r="F790" s="165" t="s">
        <v>69</v>
      </c>
      <c r="G790" s="306">
        <v>10</v>
      </c>
      <c r="H790" s="174">
        <f>VLOOKUP(C790,'UPAH-BAHAN'!D:F,2,0)</f>
        <v>1700</v>
      </c>
      <c r="I790" s="177">
        <f>G790*H790</f>
        <v>17000</v>
      </c>
    </row>
    <row r="791" spans="2:9" outlineLevel="1">
      <c r="B791" s="165"/>
      <c r="C791" s="168" t="s">
        <v>111</v>
      </c>
      <c r="D791" s="169"/>
      <c r="E791" s="170"/>
      <c r="F791" s="165" t="s">
        <v>81</v>
      </c>
      <c r="G791" s="165">
        <v>4.4999999999999998E-2</v>
      </c>
      <c r="H791" s="174">
        <f>VLOOKUP(C791,'UPAH-BAHAN'!D:F,2,0)</f>
        <v>150000</v>
      </c>
      <c r="I791" s="177">
        <f>G791*H791</f>
        <v>6750</v>
      </c>
    </row>
    <row r="792" spans="2:9" outlineLevel="1">
      <c r="B792" s="165"/>
      <c r="C792" s="168" t="s">
        <v>186</v>
      </c>
      <c r="D792" s="169"/>
      <c r="E792" s="170"/>
      <c r="F792" s="165" t="s">
        <v>69</v>
      </c>
      <c r="G792" s="173">
        <v>0.5</v>
      </c>
      <c r="H792" s="174">
        <f>VLOOKUP(C792,'UPAH-BAHAN'!D:F,2,0)</f>
        <v>3750</v>
      </c>
      <c r="I792" s="177">
        <f>G792*H792</f>
        <v>1875</v>
      </c>
    </row>
    <row r="793" spans="2:9" outlineLevel="1">
      <c r="B793" s="165"/>
      <c r="C793" s="168"/>
      <c r="D793" s="169"/>
      <c r="E793" s="170"/>
      <c r="F793" s="170"/>
      <c r="G793" s="340" t="s">
        <v>172</v>
      </c>
      <c r="H793" s="177"/>
      <c r="I793" s="177">
        <f>SUM(I789:I792)</f>
        <v>114875</v>
      </c>
    </row>
    <row r="794" spans="2:9" outlineLevel="1">
      <c r="B794" s="165" t="s">
        <v>157</v>
      </c>
      <c r="C794" s="168" t="s">
        <v>158</v>
      </c>
      <c r="D794" s="169"/>
      <c r="E794" s="170"/>
      <c r="F794" s="170"/>
      <c r="G794" s="170"/>
      <c r="H794" s="177"/>
      <c r="I794" s="177"/>
    </row>
    <row r="795" spans="2:9" outlineLevel="1">
      <c r="B795" s="165"/>
      <c r="C795" s="168"/>
      <c r="D795" s="169"/>
      <c r="E795" s="170"/>
      <c r="F795" s="170"/>
      <c r="G795" s="170"/>
      <c r="H795" s="177"/>
      <c r="I795" s="177"/>
    </row>
    <row r="796" spans="2:9" outlineLevel="1">
      <c r="B796" s="165"/>
      <c r="C796" s="176"/>
      <c r="D796" s="169"/>
      <c r="E796" s="170"/>
      <c r="F796" s="170"/>
      <c r="G796" s="340" t="s">
        <v>159</v>
      </c>
      <c r="H796" s="177"/>
      <c r="I796" s="177">
        <f>I795</f>
        <v>0</v>
      </c>
    </row>
    <row r="797" spans="2:9" outlineLevel="1">
      <c r="B797" s="165" t="s">
        <v>160</v>
      </c>
      <c r="C797" s="168" t="s">
        <v>161</v>
      </c>
      <c r="D797" s="169"/>
      <c r="E797" s="171"/>
      <c r="F797" s="171"/>
      <c r="G797" s="165"/>
      <c r="H797" s="177"/>
      <c r="I797" s="177">
        <f>I796+I793+I787</f>
        <v>268700</v>
      </c>
    </row>
    <row r="798" spans="2:9" outlineLevel="1">
      <c r="B798" s="165" t="s">
        <v>162</v>
      </c>
      <c r="C798" s="168" t="s">
        <v>82</v>
      </c>
      <c r="D798" s="169"/>
      <c r="E798" s="194"/>
      <c r="F798" s="179"/>
      <c r="G798" s="180">
        <f>$J$3</f>
        <v>0.15</v>
      </c>
      <c r="H798" s="171"/>
      <c r="I798" s="175">
        <f>I797*G798</f>
        <v>40305</v>
      </c>
    </row>
    <row r="799" spans="2:9" outlineLevel="1">
      <c r="B799" s="165" t="s">
        <v>163</v>
      </c>
      <c r="C799" s="168" t="s">
        <v>164</v>
      </c>
      <c r="D799" s="169"/>
      <c r="E799" s="171"/>
      <c r="F799" s="171"/>
      <c r="G799" s="165"/>
      <c r="H799" s="177"/>
      <c r="I799" s="177">
        <f>I797+I798</f>
        <v>309005</v>
      </c>
    </row>
    <row r="800" spans="2:9" outlineLevel="1">
      <c r="B800" s="184"/>
      <c r="D800" s="186"/>
      <c r="E800" s="186"/>
      <c r="F800" s="186"/>
      <c r="G800" s="184"/>
      <c r="H800" s="307"/>
      <c r="I800" s="307"/>
    </row>
    <row r="801" spans="1:10">
      <c r="A801" s="159" t="str">
        <f>B801</f>
        <v>A.4.4.3.36.</v>
      </c>
      <c r="B801" s="167" t="s">
        <v>688</v>
      </c>
      <c r="C801" s="160"/>
      <c r="D801" s="167" t="s">
        <v>720</v>
      </c>
      <c r="E801" s="160"/>
      <c r="F801" s="160"/>
      <c r="H801" s="161"/>
      <c r="I801" s="160"/>
      <c r="J801" s="162">
        <f>I820</f>
        <v>371622.5</v>
      </c>
    </row>
    <row r="802" spans="1:10" ht="31.2" outlineLevel="1">
      <c r="A802" s="163"/>
      <c r="B802" s="658" t="s">
        <v>75</v>
      </c>
      <c r="C802" s="1249" t="s">
        <v>140</v>
      </c>
      <c r="D802" s="1250"/>
      <c r="E802" s="658" t="s">
        <v>141</v>
      </c>
      <c r="F802" s="658" t="s">
        <v>142</v>
      </c>
      <c r="G802" s="658" t="s">
        <v>143</v>
      </c>
      <c r="H802" s="659" t="s">
        <v>144</v>
      </c>
      <c r="I802" s="659" t="s">
        <v>145</v>
      </c>
      <c r="J802" s="166"/>
    </row>
    <row r="803" spans="1:10" outlineLevel="1">
      <c r="B803" s="659" t="s">
        <v>146</v>
      </c>
      <c r="C803" s="660" t="s">
        <v>147</v>
      </c>
      <c r="D803" s="661"/>
      <c r="E803" s="688"/>
      <c r="F803" s="688"/>
      <c r="G803" s="688"/>
      <c r="H803" s="659"/>
      <c r="I803" s="659"/>
    </row>
    <row r="804" spans="1:10" outlineLevel="1">
      <c r="B804" s="659"/>
      <c r="C804" s="660" t="s">
        <v>77</v>
      </c>
      <c r="D804" s="661"/>
      <c r="E804" s="659" t="s">
        <v>148</v>
      </c>
      <c r="F804" s="659" t="s">
        <v>76</v>
      </c>
      <c r="G804" s="689">
        <v>0.9</v>
      </c>
      <c r="H804" s="174">
        <f>VLOOKUP(C804,'UPAH-BAHAN'!D:F,2,0)</f>
        <v>120000</v>
      </c>
      <c r="I804" s="690">
        <f t="shared" ref="I804:I807" si="6">G804*H804</f>
        <v>108000</v>
      </c>
    </row>
    <row r="805" spans="1:10" outlineLevel="1">
      <c r="B805" s="659"/>
      <c r="C805" s="660" t="s">
        <v>96</v>
      </c>
      <c r="D805" s="661"/>
      <c r="E805" s="659" t="s">
        <v>149</v>
      </c>
      <c r="F805" s="659" t="s">
        <v>76</v>
      </c>
      <c r="G805" s="689">
        <v>0.45</v>
      </c>
      <c r="H805" s="174">
        <f>VLOOKUP(C805,'UPAH-BAHAN'!D:F,2,0)</f>
        <v>160000</v>
      </c>
      <c r="I805" s="690">
        <f t="shared" si="6"/>
        <v>72000</v>
      </c>
    </row>
    <row r="806" spans="1:10" outlineLevel="1">
      <c r="B806" s="659"/>
      <c r="C806" s="660" t="s">
        <v>99</v>
      </c>
      <c r="D806" s="661"/>
      <c r="E806" s="659" t="s">
        <v>150</v>
      </c>
      <c r="F806" s="659" t="s">
        <v>76</v>
      </c>
      <c r="G806" s="659">
        <v>4.4999999999999998E-2</v>
      </c>
      <c r="H806" s="174">
        <f>VLOOKUP(C806,'UPAH-BAHAN'!D:F,2,0)</f>
        <v>170000</v>
      </c>
      <c r="I806" s="690">
        <f t="shared" si="6"/>
        <v>7650</v>
      </c>
    </row>
    <row r="807" spans="1:10" outlineLevel="1">
      <c r="B807" s="659"/>
      <c r="C807" s="660" t="s">
        <v>80</v>
      </c>
      <c r="D807" s="661"/>
      <c r="E807" s="659" t="s">
        <v>151</v>
      </c>
      <c r="F807" s="659" t="s">
        <v>76</v>
      </c>
      <c r="G807" s="659">
        <v>4.4999999999999998E-2</v>
      </c>
      <c r="H807" s="174">
        <f>VLOOKUP(C807,'UPAH-BAHAN'!D:F,2,0)</f>
        <v>225000</v>
      </c>
      <c r="I807" s="690">
        <f t="shared" si="6"/>
        <v>10125</v>
      </c>
    </row>
    <row r="808" spans="1:10" outlineLevel="1">
      <c r="B808" s="659"/>
      <c r="C808" s="660"/>
      <c r="D808" s="661"/>
      <c r="E808" s="688"/>
      <c r="F808" s="688"/>
      <c r="G808" s="709" t="s">
        <v>171</v>
      </c>
      <c r="H808" s="690"/>
      <c r="I808" s="690">
        <f>SUM(I804:I807)</f>
        <v>197775</v>
      </c>
    </row>
    <row r="809" spans="1:10" outlineLevel="1">
      <c r="B809" s="659" t="s">
        <v>153</v>
      </c>
      <c r="C809" s="660" t="s">
        <v>154</v>
      </c>
      <c r="D809" s="661"/>
      <c r="E809" s="688"/>
      <c r="F809" s="688"/>
      <c r="G809" s="709"/>
      <c r="H809" s="690"/>
      <c r="I809" s="690"/>
    </row>
    <row r="810" spans="1:10" outlineLevel="1">
      <c r="B810" s="659"/>
      <c r="C810" s="660" t="s">
        <v>719</v>
      </c>
      <c r="D810" s="661"/>
      <c r="E810" s="688"/>
      <c r="F810" s="659" t="s">
        <v>133</v>
      </c>
      <c r="G810" s="689">
        <v>1.05</v>
      </c>
      <c r="H810" s="174">
        <f>VLOOKUP(C810,'UPAH-BAHAN'!D:F,2,0)</f>
        <v>95000</v>
      </c>
      <c r="I810" s="690">
        <f>G810*H810</f>
        <v>99750</v>
      </c>
    </row>
    <row r="811" spans="1:10" outlineLevel="1">
      <c r="B811" s="659"/>
      <c r="C811" s="660" t="s">
        <v>87</v>
      </c>
      <c r="D811" s="661"/>
      <c r="E811" s="688"/>
      <c r="F811" s="659" t="s">
        <v>69</v>
      </c>
      <c r="G811" s="691">
        <v>10</v>
      </c>
      <c r="H811" s="174">
        <f>VLOOKUP(C811,'UPAH-BAHAN'!D:F,2,0)</f>
        <v>1700</v>
      </c>
      <c r="I811" s="690">
        <f>G811*H811</f>
        <v>17000</v>
      </c>
    </row>
    <row r="812" spans="1:10" outlineLevel="1">
      <c r="B812" s="659"/>
      <c r="C812" s="660" t="s">
        <v>111</v>
      </c>
      <c r="D812" s="661"/>
      <c r="E812" s="688"/>
      <c r="F812" s="659" t="s">
        <v>81</v>
      </c>
      <c r="G812" s="659">
        <v>4.4999999999999998E-2</v>
      </c>
      <c r="H812" s="174">
        <f>VLOOKUP(C812,'UPAH-BAHAN'!D:F,2,0)</f>
        <v>150000</v>
      </c>
      <c r="I812" s="690">
        <f>G812*H812</f>
        <v>6750</v>
      </c>
    </row>
    <row r="813" spans="1:10" outlineLevel="1">
      <c r="B813" s="659"/>
      <c r="C813" s="660" t="s">
        <v>186</v>
      </c>
      <c r="D813" s="661"/>
      <c r="E813" s="688"/>
      <c r="F813" s="659" t="s">
        <v>69</v>
      </c>
      <c r="G813" s="689">
        <v>0.5</v>
      </c>
      <c r="H813" s="174">
        <f>VLOOKUP(C813,'UPAH-BAHAN'!D:F,2,0)</f>
        <v>3750</v>
      </c>
      <c r="I813" s="690">
        <f>G813*H813</f>
        <v>1875</v>
      </c>
    </row>
    <row r="814" spans="1:10" outlineLevel="1">
      <c r="B814" s="659"/>
      <c r="C814" s="660"/>
      <c r="D814" s="661"/>
      <c r="E814" s="688"/>
      <c r="F814" s="688"/>
      <c r="G814" s="709" t="s">
        <v>172</v>
      </c>
      <c r="H814" s="690"/>
      <c r="I814" s="690">
        <f>SUM(I810:I813)</f>
        <v>125375</v>
      </c>
    </row>
    <row r="815" spans="1:10" outlineLevel="1">
      <c r="B815" s="659" t="s">
        <v>157</v>
      </c>
      <c r="C815" s="660" t="s">
        <v>158</v>
      </c>
      <c r="D815" s="661"/>
      <c r="E815" s="688"/>
      <c r="F815" s="688"/>
      <c r="G815" s="688"/>
      <c r="H815" s="690"/>
      <c r="I815" s="690"/>
    </row>
    <row r="816" spans="1:10" outlineLevel="1">
      <c r="B816" s="659"/>
      <c r="C816" s="660"/>
      <c r="D816" s="661"/>
      <c r="E816" s="688"/>
      <c r="F816" s="688"/>
      <c r="G816" s="688"/>
      <c r="H816" s="690"/>
      <c r="I816" s="690"/>
    </row>
    <row r="817" spans="1:10" outlineLevel="1">
      <c r="B817" s="659"/>
      <c r="C817" s="692"/>
      <c r="D817" s="661"/>
      <c r="E817" s="688"/>
      <c r="F817" s="688"/>
      <c r="G817" s="709" t="s">
        <v>159</v>
      </c>
      <c r="H817" s="690"/>
      <c r="I817" s="690">
        <f>I816</f>
        <v>0</v>
      </c>
    </row>
    <row r="818" spans="1:10" outlineLevel="1">
      <c r="B818" s="659" t="s">
        <v>160</v>
      </c>
      <c r="C818" s="660" t="s">
        <v>161</v>
      </c>
      <c r="D818" s="661"/>
      <c r="E818" s="673"/>
      <c r="F818" s="673"/>
      <c r="G818" s="659"/>
      <c r="H818" s="690"/>
      <c r="I818" s="690">
        <f>I817+I814+I808</f>
        <v>323150</v>
      </c>
    </row>
    <row r="819" spans="1:10" outlineLevel="1">
      <c r="B819" s="659" t="s">
        <v>162</v>
      </c>
      <c r="C819" s="660" t="s">
        <v>82</v>
      </c>
      <c r="D819" s="661"/>
      <c r="E819" s="752"/>
      <c r="F819" s="671"/>
      <c r="G819" s="672">
        <f>$J$3</f>
        <v>0.15</v>
      </c>
      <c r="H819" s="673"/>
      <c r="I819" s="674">
        <f>I818*G819</f>
        <v>48472.5</v>
      </c>
    </row>
    <row r="820" spans="1:10" outlineLevel="1">
      <c r="B820" s="659" t="s">
        <v>163</v>
      </c>
      <c r="C820" s="660" t="s">
        <v>164</v>
      </c>
      <c r="D820" s="661"/>
      <c r="E820" s="673"/>
      <c r="F820" s="673"/>
      <c r="G820" s="659"/>
      <c r="H820" s="690"/>
      <c r="I820" s="690">
        <f>I818+I819</f>
        <v>371622.5</v>
      </c>
    </row>
    <row r="821" spans="1:10" outlineLevel="1">
      <c r="B821" s="184"/>
      <c r="D821" s="186"/>
      <c r="E821" s="186"/>
      <c r="F821" s="186"/>
      <c r="G821" s="184"/>
      <c r="H821" s="307"/>
      <c r="I821" s="307"/>
    </row>
    <row r="822" spans="1:10">
      <c r="A822" s="159" t="str">
        <f>B822</f>
        <v>A.4.4.3.63.</v>
      </c>
      <c r="B822" s="167" t="s">
        <v>594</v>
      </c>
      <c r="C822" s="160"/>
      <c r="D822" s="167" t="s">
        <v>595</v>
      </c>
      <c r="E822" s="160"/>
      <c r="F822" s="160"/>
      <c r="H822" s="161"/>
      <c r="I822" s="160"/>
      <c r="J822" s="162">
        <f>I839</f>
        <v>249383.25</v>
      </c>
    </row>
    <row r="823" spans="1:10" ht="31.2" outlineLevel="1">
      <c r="A823" s="163"/>
      <c r="B823" s="164" t="s">
        <v>75</v>
      </c>
      <c r="C823" s="1254" t="s">
        <v>140</v>
      </c>
      <c r="D823" s="1255"/>
      <c r="E823" s="164" t="s">
        <v>141</v>
      </c>
      <c r="F823" s="164" t="s">
        <v>142</v>
      </c>
      <c r="G823" s="164" t="s">
        <v>143</v>
      </c>
      <c r="H823" s="165" t="s">
        <v>144</v>
      </c>
      <c r="I823" s="165" t="s">
        <v>145</v>
      </c>
      <c r="J823" s="166"/>
    </row>
    <row r="824" spans="1:10" outlineLevel="1">
      <c r="B824" s="165" t="s">
        <v>146</v>
      </c>
      <c r="C824" s="168" t="s">
        <v>147</v>
      </c>
      <c r="D824" s="169"/>
      <c r="E824" s="170"/>
      <c r="F824" s="170"/>
      <c r="G824" s="170"/>
      <c r="H824" s="165"/>
      <c r="I824" s="165"/>
    </row>
    <row r="825" spans="1:10" outlineLevel="1">
      <c r="B825" s="165"/>
      <c r="C825" s="168" t="s">
        <v>77</v>
      </c>
      <c r="D825" s="169"/>
      <c r="E825" s="165" t="s">
        <v>148</v>
      </c>
      <c r="F825" s="165" t="s">
        <v>76</v>
      </c>
      <c r="G825" s="173">
        <v>0.25</v>
      </c>
      <c r="H825" s="174">
        <f>VLOOKUP(C825,'UPAH-BAHAN'!D:F,2,0)</f>
        <v>120000</v>
      </c>
      <c r="I825" s="177">
        <f>G825*H825</f>
        <v>30000</v>
      </c>
    </row>
    <row r="826" spans="1:10" outlineLevel="1">
      <c r="B826" s="165"/>
      <c r="C826" s="168" t="s">
        <v>96</v>
      </c>
      <c r="D826" s="169"/>
      <c r="E826" s="165" t="s">
        <v>149</v>
      </c>
      <c r="F826" s="165" t="s">
        <v>76</v>
      </c>
      <c r="G826" s="173">
        <v>0.5</v>
      </c>
      <c r="H826" s="174">
        <f>VLOOKUP(C826,'UPAH-BAHAN'!D:F,2,0)</f>
        <v>160000</v>
      </c>
      <c r="I826" s="177">
        <f>G826*H826</f>
        <v>80000</v>
      </c>
    </row>
    <row r="827" spans="1:10" outlineLevel="1">
      <c r="B827" s="165"/>
      <c r="C827" s="168" t="s">
        <v>99</v>
      </c>
      <c r="D827" s="169"/>
      <c r="E827" s="165" t="s">
        <v>150</v>
      </c>
      <c r="F827" s="165" t="s">
        <v>76</v>
      </c>
      <c r="G827" s="165">
        <v>0.05</v>
      </c>
      <c r="H827" s="174">
        <f>VLOOKUP(C827,'UPAH-BAHAN'!D:F,2,0)</f>
        <v>170000</v>
      </c>
      <c r="I827" s="177">
        <f>G827*H827</f>
        <v>8500</v>
      </c>
    </row>
    <row r="828" spans="1:10" outlineLevel="1">
      <c r="B828" s="165"/>
      <c r="C828" s="168" t="s">
        <v>80</v>
      </c>
      <c r="D828" s="169"/>
      <c r="E828" s="165" t="s">
        <v>151</v>
      </c>
      <c r="F828" s="165" t="s">
        <v>76</v>
      </c>
      <c r="G828" s="165">
        <v>1.2999999999999999E-3</v>
      </c>
      <c r="H828" s="174">
        <f>VLOOKUP(C828,'UPAH-BAHAN'!D:F,2,0)</f>
        <v>225000</v>
      </c>
      <c r="I828" s="177">
        <f>G828*H828</f>
        <v>292.5</v>
      </c>
    </row>
    <row r="829" spans="1:10" outlineLevel="1">
      <c r="B829" s="165"/>
      <c r="C829" s="168"/>
      <c r="D829" s="169"/>
      <c r="E829" s="170"/>
      <c r="F829" s="170"/>
      <c r="G829" s="340" t="s">
        <v>171</v>
      </c>
      <c r="H829" s="177"/>
      <c r="I829" s="177">
        <f>SUM(I825:I828)</f>
        <v>118792.5</v>
      </c>
    </row>
    <row r="830" spans="1:10" outlineLevel="1">
      <c r="B830" s="165" t="s">
        <v>153</v>
      </c>
      <c r="C830" s="168" t="s">
        <v>154</v>
      </c>
      <c r="D830" s="169"/>
      <c r="E830" s="170"/>
      <c r="F830" s="170"/>
      <c r="G830" s="340"/>
      <c r="H830" s="177"/>
      <c r="I830" s="177"/>
    </row>
    <row r="831" spans="1:10" outlineLevel="1">
      <c r="B831" s="165"/>
      <c r="C831" s="168" t="s">
        <v>430</v>
      </c>
      <c r="D831" s="169"/>
      <c r="E831" s="170"/>
      <c r="F831" s="165" t="s">
        <v>133</v>
      </c>
      <c r="G831" s="173">
        <v>1.05</v>
      </c>
      <c r="H831" s="174">
        <f>VLOOKUP(C831,'UPAH-BAHAN'!D:F,2,0)</f>
        <v>86250</v>
      </c>
      <c r="I831" s="177">
        <f>G831*H831</f>
        <v>90562.5</v>
      </c>
    </row>
    <row r="832" spans="1:10" outlineLevel="1">
      <c r="B832" s="165"/>
      <c r="C832" s="168" t="s">
        <v>90</v>
      </c>
      <c r="D832" s="169"/>
      <c r="E832" s="170"/>
      <c r="F832" s="165" t="s">
        <v>81</v>
      </c>
      <c r="G832" s="306">
        <v>0.05</v>
      </c>
      <c r="H832" s="174">
        <f>VLOOKUP(C832,'UPAH-BAHAN'!D:F,2,0)</f>
        <v>150000</v>
      </c>
      <c r="I832" s="177">
        <f>G832*H832</f>
        <v>7500</v>
      </c>
    </row>
    <row r="833" spans="1:11" outlineLevel="1">
      <c r="B833" s="165"/>
      <c r="C833" s="168"/>
      <c r="D833" s="169"/>
      <c r="E833" s="170"/>
      <c r="F833" s="170"/>
      <c r="G833" s="340" t="s">
        <v>172</v>
      </c>
      <c r="H833" s="177"/>
      <c r="I833" s="177">
        <f>SUM(I831:I832)</f>
        <v>98062.5</v>
      </c>
    </row>
    <row r="834" spans="1:11" outlineLevel="1">
      <c r="B834" s="165" t="s">
        <v>157</v>
      </c>
      <c r="C834" s="168" t="s">
        <v>158</v>
      </c>
      <c r="D834" s="169"/>
      <c r="E834" s="170"/>
      <c r="F834" s="170"/>
      <c r="G834" s="170"/>
      <c r="H834" s="177"/>
      <c r="I834" s="177"/>
    </row>
    <row r="835" spans="1:11" outlineLevel="1">
      <c r="B835" s="165"/>
      <c r="C835" s="168"/>
      <c r="D835" s="169"/>
      <c r="E835" s="170"/>
      <c r="F835" s="170"/>
      <c r="G835" s="170"/>
      <c r="H835" s="177"/>
      <c r="I835" s="177"/>
    </row>
    <row r="836" spans="1:11" outlineLevel="1">
      <c r="B836" s="165"/>
      <c r="C836" s="176"/>
      <c r="D836" s="169"/>
      <c r="E836" s="170"/>
      <c r="F836" s="170"/>
      <c r="G836" s="340" t="s">
        <v>159</v>
      </c>
      <c r="H836" s="177"/>
      <c r="I836" s="177">
        <f>I835</f>
        <v>0</v>
      </c>
    </row>
    <row r="837" spans="1:11" outlineLevel="1">
      <c r="B837" s="165" t="s">
        <v>160</v>
      </c>
      <c r="C837" s="168" t="s">
        <v>161</v>
      </c>
      <c r="D837" s="169"/>
      <c r="E837" s="171"/>
      <c r="F837" s="171"/>
      <c r="G837" s="165"/>
      <c r="H837" s="177"/>
      <c r="I837" s="177">
        <f>I836+I833+I829</f>
        <v>216855</v>
      </c>
    </row>
    <row r="838" spans="1:11" outlineLevel="1">
      <c r="B838" s="165" t="s">
        <v>162</v>
      </c>
      <c r="C838" s="168" t="s">
        <v>82</v>
      </c>
      <c r="D838" s="169"/>
      <c r="E838" s="194"/>
      <c r="F838" s="179"/>
      <c r="G838" s="180">
        <f>$J$3</f>
        <v>0.15</v>
      </c>
      <c r="H838" s="171"/>
      <c r="I838" s="175">
        <f>I837*G838</f>
        <v>32528.25</v>
      </c>
    </row>
    <row r="839" spans="1:11" outlineLevel="1">
      <c r="B839" s="165" t="s">
        <v>163</v>
      </c>
      <c r="C839" s="168" t="s">
        <v>164</v>
      </c>
      <c r="D839" s="169"/>
      <c r="E839" s="171"/>
      <c r="F839" s="171"/>
      <c r="G839" s="165"/>
      <c r="H839" s="177"/>
      <c r="I839" s="177">
        <f>I837+I838</f>
        <v>249383.25</v>
      </c>
    </row>
    <row r="840" spans="1:11" outlineLevel="1">
      <c r="B840" s="184"/>
      <c r="D840" s="186"/>
      <c r="E840" s="186"/>
      <c r="F840" s="186"/>
      <c r="G840" s="184"/>
      <c r="H840" s="307"/>
      <c r="I840" s="307"/>
    </row>
    <row r="841" spans="1:11">
      <c r="A841" s="159" t="str">
        <f>B841</f>
        <v>A.4.4.3.63.A</v>
      </c>
      <c r="B841" s="167" t="s">
        <v>715</v>
      </c>
      <c r="C841" s="160"/>
      <c r="D841" s="167" t="s">
        <v>716</v>
      </c>
      <c r="E841" s="160"/>
      <c r="F841" s="160"/>
      <c r="H841" s="161"/>
      <c r="I841" s="160"/>
      <c r="J841" s="162">
        <f>I858</f>
        <v>145236.375</v>
      </c>
      <c r="K841" s="46" t="e">
        <f>VLOOKUP(A841,#REF!,1,0)</f>
        <v>#REF!</v>
      </c>
    </row>
    <row r="842" spans="1:11" ht="31.2" outlineLevel="1">
      <c r="A842" s="163"/>
      <c r="B842" s="164" t="s">
        <v>75</v>
      </c>
      <c r="C842" s="1254" t="s">
        <v>140</v>
      </c>
      <c r="D842" s="1255"/>
      <c r="E842" s="164" t="s">
        <v>141</v>
      </c>
      <c r="F842" s="164" t="s">
        <v>142</v>
      </c>
      <c r="G842" s="164" t="s">
        <v>143</v>
      </c>
      <c r="H842" s="165" t="s">
        <v>144</v>
      </c>
      <c r="I842" s="165" t="s">
        <v>145</v>
      </c>
      <c r="J842" s="166"/>
      <c r="K842" s="46" t="e">
        <f>VLOOKUP(A842,#REF!,1,0)</f>
        <v>#REF!</v>
      </c>
    </row>
    <row r="843" spans="1:11" outlineLevel="1">
      <c r="B843" s="165" t="s">
        <v>146</v>
      </c>
      <c r="C843" s="168" t="s">
        <v>147</v>
      </c>
      <c r="D843" s="169"/>
      <c r="E843" s="170"/>
      <c r="F843" s="170"/>
      <c r="G843" s="170"/>
      <c r="H843" s="165"/>
      <c r="I843" s="165"/>
      <c r="K843" s="46" t="e">
        <f>VLOOKUP(A843,#REF!,1,0)</f>
        <v>#REF!</v>
      </c>
    </row>
    <row r="844" spans="1:11" outlineLevel="1">
      <c r="B844" s="165"/>
      <c r="C844" s="168" t="s">
        <v>77</v>
      </c>
      <c r="D844" s="169"/>
      <c r="E844" s="165" t="s">
        <v>148</v>
      </c>
      <c r="F844" s="165" t="s">
        <v>76</v>
      </c>
      <c r="G844" s="173">
        <v>0.25</v>
      </c>
      <c r="H844" s="174">
        <f>VLOOKUP(C844,'UPAH-BAHAN'!D:F,2,0)</f>
        <v>120000</v>
      </c>
      <c r="I844" s="177">
        <f>G844*H844</f>
        <v>30000</v>
      </c>
      <c r="K844" s="46" t="e">
        <f>VLOOKUP(A844,#REF!,1,0)</f>
        <v>#REF!</v>
      </c>
    </row>
    <row r="845" spans="1:11" outlineLevel="1">
      <c r="B845" s="165"/>
      <c r="C845" s="168" t="s">
        <v>96</v>
      </c>
      <c r="D845" s="169"/>
      <c r="E845" s="165" t="s">
        <v>149</v>
      </c>
      <c r="F845" s="165" t="s">
        <v>76</v>
      </c>
      <c r="G845" s="173">
        <v>0.5</v>
      </c>
      <c r="H845" s="174">
        <f>VLOOKUP(C845,'UPAH-BAHAN'!D:F,2,0)</f>
        <v>160000</v>
      </c>
      <c r="I845" s="177">
        <f>G845*H845</f>
        <v>80000</v>
      </c>
      <c r="K845" s="46" t="e">
        <f>VLOOKUP(A845,#REF!,1,0)</f>
        <v>#REF!</v>
      </c>
    </row>
    <row r="846" spans="1:11" outlineLevel="1">
      <c r="B846" s="165"/>
      <c r="C846" s="168" t="s">
        <v>99</v>
      </c>
      <c r="D846" s="169"/>
      <c r="E846" s="165" t="s">
        <v>150</v>
      </c>
      <c r="F846" s="165" t="s">
        <v>76</v>
      </c>
      <c r="G846" s="165">
        <v>0.05</v>
      </c>
      <c r="H846" s="174">
        <f>VLOOKUP(C846,'UPAH-BAHAN'!D:F,2,0)</f>
        <v>170000</v>
      </c>
      <c r="I846" s="177">
        <f>G846*H846</f>
        <v>8500</v>
      </c>
      <c r="K846" s="46" t="e">
        <f>VLOOKUP(A846,#REF!,1,0)</f>
        <v>#REF!</v>
      </c>
    </row>
    <row r="847" spans="1:11" outlineLevel="1">
      <c r="B847" s="165"/>
      <c r="C847" s="168" t="s">
        <v>80</v>
      </c>
      <c r="D847" s="169"/>
      <c r="E847" s="165" t="s">
        <v>151</v>
      </c>
      <c r="F847" s="165" t="s">
        <v>76</v>
      </c>
      <c r="G847" s="165">
        <v>1.2999999999999999E-3</v>
      </c>
      <c r="H847" s="174">
        <f>VLOOKUP(C847,'UPAH-BAHAN'!D:F,2,0)</f>
        <v>225000</v>
      </c>
      <c r="I847" s="177">
        <f>G847*H847</f>
        <v>292.5</v>
      </c>
      <c r="K847" s="46" t="e">
        <f>VLOOKUP(A847,#REF!,1,0)</f>
        <v>#REF!</v>
      </c>
    </row>
    <row r="848" spans="1:11" outlineLevel="1">
      <c r="B848" s="165"/>
      <c r="C848" s="168"/>
      <c r="D848" s="169"/>
      <c r="E848" s="170"/>
      <c r="F848" s="170"/>
      <c r="G848" s="340" t="s">
        <v>171</v>
      </c>
      <c r="H848" s="177"/>
      <c r="I848" s="177">
        <f>SUM(I844:I847)</f>
        <v>118792.5</v>
      </c>
      <c r="K848" s="46" t="e">
        <f>VLOOKUP(A848,#REF!,1,0)</f>
        <v>#REF!</v>
      </c>
    </row>
    <row r="849" spans="1:12" outlineLevel="1">
      <c r="B849" s="165" t="s">
        <v>153</v>
      </c>
      <c r="C849" s="168" t="s">
        <v>154</v>
      </c>
      <c r="D849" s="169"/>
      <c r="E849" s="170"/>
      <c r="F849" s="170"/>
      <c r="G849" s="340"/>
      <c r="H849" s="177"/>
      <c r="I849" s="177"/>
      <c r="K849" s="46" t="e">
        <f>VLOOKUP(A849,#REF!,1,0)</f>
        <v>#REF!</v>
      </c>
    </row>
    <row r="850" spans="1:12" outlineLevel="1">
      <c r="B850" s="165"/>
      <c r="C850" s="168" t="s">
        <v>430</v>
      </c>
      <c r="D850" s="169"/>
      <c r="E850" s="170"/>
      <c r="F850" s="165" t="s">
        <v>133</v>
      </c>
      <c r="G850" s="173"/>
      <c r="H850" s="174">
        <f>VLOOKUP(C850,'UPAH-BAHAN'!D:F,2,0)</f>
        <v>86250</v>
      </c>
      <c r="I850" s="177">
        <f>G850*H850</f>
        <v>0</v>
      </c>
      <c r="K850" s="46" t="e">
        <f>VLOOKUP(A850,#REF!,1,0)</f>
        <v>#REF!</v>
      </c>
    </row>
    <row r="851" spans="1:12" outlineLevel="1">
      <c r="B851" s="165"/>
      <c r="C851" s="168" t="s">
        <v>90</v>
      </c>
      <c r="D851" s="169"/>
      <c r="E851" s="170"/>
      <c r="F851" s="165" t="s">
        <v>81</v>
      </c>
      <c r="G851" s="306">
        <v>0.05</v>
      </c>
      <c r="H851" s="174">
        <f>VLOOKUP(C851,'UPAH-BAHAN'!D:F,2,0)</f>
        <v>150000</v>
      </c>
      <c r="I851" s="177">
        <f>G851*H851</f>
        <v>7500</v>
      </c>
      <c r="K851" s="46" t="e">
        <f>VLOOKUP(A851,#REF!,1,0)</f>
        <v>#REF!</v>
      </c>
    </row>
    <row r="852" spans="1:12" outlineLevel="1">
      <c r="B852" s="165"/>
      <c r="C852" s="168"/>
      <c r="D852" s="169"/>
      <c r="E852" s="170"/>
      <c r="F852" s="170"/>
      <c r="G852" s="340" t="s">
        <v>172</v>
      </c>
      <c r="H852" s="177"/>
      <c r="I852" s="177">
        <f>SUM(I850:I851)</f>
        <v>7500</v>
      </c>
      <c r="K852" s="46" t="e">
        <f>VLOOKUP(A852,#REF!,1,0)</f>
        <v>#REF!</v>
      </c>
    </row>
    <row r="853" spans="1:12" outlineLevel="1">
      <c r="B853" s="165" t="s">
        <v>157</v>
      </c>
      <c r="C853" s="168" t="s">
        <v>158</v>
      </c>
      <c r="D853" s="169"/>
      <c r="E853" s="170"/>
      <c r="F853" s="170"/>
      <c r="G853" s="170"/>
      <c r="H853" s="177"/>
      <c r="I853" s="177"/>
      <c r="K853" s="46" t="e">
        <f>VLOOKUP(A853,#REF!,1,0)</f>
        <v>#REF!</v>
      </c>
    </row>
    <row r="854" spans="1:12" outlineLevel="1">
      <c r="B854" s="165"/>
      <c r="C854" s="168"/>
      <c r="D854" s="169"/>
      <c r="E854" s="170"/>
      <c r="F854" s="170"/>
      <c r="G854" s="170"/>
      <c r="H854" s="177"/>
      <c r="I854" s="177"/>
      <c r="K854" s="46" t="e">
        <f>VLOOKUP(A854,#REF!,1,0)</f>
        <v>#REF!</v>
      </c>
    </row>
    <row r="855" spans="1:12" outlineLevel="1">
      <c r="B855" s="165"/>
      <c r="C855" s="176"/>
      <c r="D855" s="169"/>
      <c r="E855" s="170"/>
      <c r="F855" s="170"/>
      <c r="G855" s="340" t="s">
        <v>159</v>
      </c>
      <c r="H855" s="177"/>
      <c r="I855" s="177">
        <f>I854</f>
        <v>0</v>
      </c>
      <c r="K855" s="46" t="e">
        <f>VLOOKUP(A855,#REF!,1,0)</f>
        <v>#REF!</v>
      </c>
    </row>
    <row r="856" spans="1:12" outlineLevel="1">
      <c r="B856" s="165" t="s">
        <v>160</v>
      </c>
      <c r="C856" s="168" t="s">
        <v>161</v>
      </c>
      <c r="D856" s="169"/>
      <c r="E856" s="171"/>
      <c r="F856" s="171"/>
      <c r="G856" s="165"/>
      <c r="H856" s="177"/>
      <c r="I856" s="177">
        <f>I855+I852+I848</f>
        <v>126292.5</v>
      </c>
      <c r="K856" s="46" t="e">
        <f>VLOOKUP(A856,#REF!,1,0)</f>
        <v>#REF!</v>
      </c>
    </row>
    <row r="857" spans="1:12" outlineLevel="1">
      <c r="B857" s="165" t="s">
        <v>162</v>
      </c>
      <c r="C857" s="168" t="s">
        <v>82</v>
      </c>
      <c r="D857" s="169"/>
      <c r="E857" s="194"/>
      <c r="F857" s="179"/>
      <c r="G857" s="180">
        <f>$J$3</f>
        <v>0.15</v>
      </c>
      <c r="H857" s="171"/>
      <c r="I857" s="175">
        <f>I856*G857</f>
        <v>18943.875</v>
      </c>
      <c r="K857" s="46" t="e">
        <f>VLOOKUP(A857,#REF!,1,0)</f>
        <v>#REF!</v>
      </c>
    </row>
    <row r="858" spans="1:12" outlineLevel="1">
      <c r="B858" s="165" t="s">
        <v>163</v>
      </c>
      <c r="C858" s="168" t="s">
        <v>164</v>
      </c>
      <c r="D858" s="169"/>
      <c r="E858" s="171"/>
      <c r="F858" s="171"/>
      <c r="G858" s="165"/>
      <c r="H858" s="177"/>
      <c r="I858" s="177">
        <f>I856+I857</f>
        <v>145236.375</v>
      </c>
      <c r="K858" s="46" t="e">
        <f>VLOOKUP(A858,#REF!,1,0)</f>
        <v>#REF!</v>
      </c>
    </row>
    <row r="859" spans="1:12" outlineLevel="1">
      <c r="B859" s="184"/>
      <c r="D859" s="186"/>
      <c r="E859" s="186"/>
      <c r="F859" s="186"/>
      <c r="G859" s="184"/>
      <c r="H859" s="307"/>
      <c r="I859" s="307"/>
      <c r="K859" s="46" t="e">
        <f>VLOOKUP(A859,#REF!,1,0)</f>
        <v>#REF!</v>
      </c>
    </row>
    <row r="860" spans="1:12" s="46" customFormat="1">
      <c r="A860" s="3" t="str">
        <f>B860</f>
        <v>Hit.Aci.Scrd.</v>
      </c>
      <c r="B860" s="487" t="s">
        <v>809</v>
      </c>
      <c r="C860" s="3"/>
      <c r="D860" s="3" t="s">
        <v>605</v>
      </c>
      <c r="E860" s="12"/>
      <c r="F860" s="12"/>
      <c r="G860" s="12"/>
      <c r="H860" s="624"/>
      <c r="I860" s="2"/>
      <c r="J860" s="273">
        <f>I877</f>
        <v>83317.5</v>
      </c>
      <c r="K860" s="46" t="e">
        <f>VLOOKUP(A860,#REF!,1,0)</f>
        <v>#REF!</v>
      </c>
      <c r="L860" s="756"/>
    </row>
    <row r="861" spans="1:12" s="46" customFormat="1" ht="31.2" outlineLevel="1">
      <c r="A861" s="13"/>
      <c r="B861" s="489" t="s">
        <v>75</v>
      </c>
      <c r="C861" s="1256" t="s">
        <v>140</v>
      </c>
      <c r="D861" s="1257"/>
      <c r="E861" s="490" t="s">
        <v>141</v>
      </c>
      <c r="F861" s="490" t="s">
        <v>142</v>
      </c>
      <c r="G861" s="490" t="s">
        <v>143</v>
      </c>
      <c r="H861" s="482" t="s">
        <v>144</v>
      </c>
      <c r="I861" s="482" t="s">
        <v>145</v>
      </c>
      <c r="J861" s="625"/>
      <c r="K861" s="46" t="e">
        <f>VLOOKUP(A861,#REF!,1,0)</f>
        <v>#REF!</v>
      </c>
      <c r="L861" s="756"/>
    </row>
    <row r="862" spans="1:12" s="46" customFormat="1" outlineLevel="1">
      <c r="A862" s="3"/>
      <c r="B862" s="491" t="s">
        <v>146</v>
      </c>
      <c r="C862" s="480" t="s">
        <v>147</v>
      </c>
      <c r="D862" s="481"/>
      <c r="E862" s="484"/>
      <c r="F862" s="627"/>
      <c r="G862" s="627"/>
      <c r="H862" s="628"/>
      <c r="I862" s="628"/>
      <c r="J862" s="273"/>
      <c r="K862" s="46" t="e">
        <f>VLOOKUP(A862,#REF!,1,0)</f>
        <v>#REF!</v>
      </c>
      <c r="L862" s="756"/>
    </row>
    <row r="863" spans="1:12" s="46" customFormat="1" outlineLevel="1">
      <c r="A863" s="3"/>
      <c r="B863" s="491"/>
      <c r="C863" s="480" t="s">
        <v>77</v>
      </c>
      <c r="D863" s="481"/>
      <c r="E863" s="482" t="s">
        <v>148</v>
      </c>
      <c r="F863" s="629" t="s">
        <v>76</v>
      </c>
      <c r="G863" s="630">
        <v>0.2</v>
      </c>
      <c r="H863" s="174">
        <f>VLOOKUP(C863,'UPAH-BAHAN'!D:F,2,0)</f>
        <v>120000</v>
      </c>
      <c r="I863" s="631">
        <f>H863*G863</f>
        <v>24000</v>
      </c>
      <c r="J863" s="273"/>
      <c r="K863" s="46" t="e">
        <f>VLOOKUP(A863,#REF!,1,0)</f>
        <v>#REF!</v>
      </c>
      <c r="L863" s="756"/>
    </row>
    <row r="864" spans="1:12" s="46" customFormat="1" outlineLevel="1">
      <c r="A864" s="3"/>
      <c r="B864" s="491"/>
      <c r="C864" s="480" t="s">
        <v>126</v>
      </c>
      <c r="D864" s="481"/>
      <c r="E864" s="482" t="s">
        <v>149</v>
      </c>
      <c r="F864" s="629" t="s">
        <v>76</v>
      </c>
      <c r="G864" s="629">
        <v>0.1</v>
      </c>
      <c r="H864" s="174">
        <f>VLOOKUP(C864,'UPAH-BAHAN'!D:F,2,0)</f>
        <v>160000</v>
      </c>
      <c r="I864" s="631">
        <f>H864*G864</f>
        <v>16000</v>
      </c>
      <c r="J864" s="273"/>
      <c r="K864" s="46" t="e">
        <f>VLOOKUP(A864,#REF!,1,0)</f>
        <v>#REF!</v>
      </c>
      <c r="L864" s="756"/>
    </row>
    <row r="865" spans="1:12" s="46" customFormat="1" outlineLevel="1">
      <c r="A865" s="3"/>
      <c r="B865" s="491"/>
      <c r="C865" s="480" t="s">
        <v>99</v>
      </c>
      <c r="D865" s="481"/>
      <c r="E865" s="482" t="s">
        <v>150</v>
      </c>
      <c r="F865" s="629" t="s">
        <v>76</v>
      </c>
      <c r="G865" s="629">
        <v>0.01</v>
      </c>
      <c r="H865" s="174">
        <f>VLOOKUP(C865,'UPAH-BAHAN'!D:F,2,0)</f>
        <v>170000</v>
      </c>
      <c r="I865" s="631">
        <f>H865*G865</f>
        <v>1700</v>
      </c>
      <c r="J865" s="273"/>
      <c r="K865" s="46" t="e">
        <f>VLOOKUP(A865,#REF!,1,0)</f>
        <v>#REF!</v>
      </c>
      <c r="L865" s="756"/>
    </row>
    <row r="866" spans="1:12" s="46" customFormat="1" outlineLevel="1">
      <c r="A866" s="3"/>
      <c r="B866" s="491"/>
      <c r="C866" s="480" t="s">
        <v>80</v>
      </c>
      <c r="D866" s="481"/>
      <c r="E866" s="482" t="s">
        <v>151</v>
      </c>
      <c r="F866" s="629" t="s">
        <v>76</v>
      </c>
      <c r="G866" s="629">
        <v>0.01</v>
      </c>
      <c r="H866" s="174">
        <f>VLOOKUP(C866,'UPAH-BAHAN'!D:F,2,0)</f>
        <v>225000</v>
      </c>
      <c r="I866" s="631">
        <f>H866*G866</f>
        <v>2250</v>
      </c>
      <c r="J866" s="273"/>
      <c r="K866" s="46" t="e">
        <f>VLOOKUP(A866,#REF!,1,0)</f>
        <v>#REF!</v>
      </c>
      <c r="L866" s="756"/>
    </row>
    <row r="867" spans="1:12" s="46" customFormat="1" outlineLevel="1">
      <c r="A867" s="3"/>
      <c r="B867" s="491"/>
      <c r="C867" s="480"/>
      <c r="D867" s="481"/>
      <c r="E867" s="484"/>
      <c r="F867" s="627"/>
      <c r="G867" s="708" t="s">
        <v>171</v>
      </c>
      <c r="H867" s="631"/>
      <c r="I867" s="631">
        <f>SUM(I863:I866)</f>
        <v>43950</v>
      </c>
      <c r="J867" s="273"/>
      <c r="K867" s="46" t="e">
        <f>VLOOKUP(A867,#REF!,1,0)</f>
        <v>#REF!</v>
      </c>
      <c r="L867" s="756"/>
    </row>
    <row r="868" spans="1:12" s="46" customFormat="1" outlineLevel="1">
      <c r="A868" s="3"/>
      <c r="B868" s="491" t="s">
        <v>153</v>
      </c>
      <c r="C868" s="480" t="s">
        <v>154</v>
      </c>
      <c r="D868" s="481"/>
      <c r="E868" s="484"/>
      <c r="F868" s="627"/>
      <c r="G868" s="627"/>
      <c r="H868" s="631"/>
      <c r="I868" s="631"/>
      <c r="J868" s="273"/>
      <c r="K868" s="46" t="e">
        <f>VLOOKUP(A868,#REF!,1,0)</f>
        <v>#REF!</v>
      </c>
      <c r="L868" s="756"/>
    </row>
    <row r="869" spans="1:12" s="46" customFormat="1" outlineLevel="1">
      <c r="A869" s="3"/>
      <c r="B869" s="491"/>
      <c r="C869" s="480" t="s">
        <v>87</v>
      </c>
      <c r="D869" s="481"/>
      <c r="E869" s="484"/>
      <c r="F869" s="629" t="s">
        <v>69</v>
      </c>
      <c r="G869" s="630">
        <v>5</v>
      </c>
      <c r="H869" s="174">
        <f>VLOOKUP(C869,'UPAH-BAHAN'!D:F,2,0)</f>
        <v>1700</v>
      </c>
      <c r="I869" s="631">
        <f>H869*G869</f>
        <v>8500</v>
      </c>
      <c r="J869" s="273"/>
      <c r="K869" s="46" t="e">
        <f>VLOOKUP(A869,#REF!,1,0)</f>
        <v>#REF!</v>
      </c>
      <c r="L869" s="756"/>
    </row>
    <row r="870" spans="1:12" s="46" customFormat="1" outlineLevel="1">
      <c r="A870" s="3"/>
      <c r="B870" s="491"/>
      <c r="C870" s="480"/>
      <c r="D870" s="481"/>
      <c r="E870" s="484"/>
      <c r="F870" s="627"/>
      <c r="G870" s="708" t="s">
        <v>172</v>
      </c>
      <c r="H870" s="631"/>
      <c r="I870" s="631">
        <f>SUM(I869:I869)</f>
        <v>8500</v>
      </c>
      <c r="J870" s="273"/>
      <c r="K870" s="46" t="e">
        <f>VLOOKUP(A870,#REF!,1,0)</f>
        <v>#REF!</v>
      </c>
      <c r="L870" s="756"/>
    </row>
    <row r="871" spans="1:12" s="46" customFormat="1" outlineLevel="1">
      <c r="A871" s="3"/>
      <c r="B871" s="491" t="s">
        <v>157</v>
      </c>
      <c r="C871" s="480" t="s">
        <v>158</v>
      </c>
      <c r="D871" s="481"/>
      <c r="E871" s="484"/>
      <c r="F871" s="627"/>
      <c r="G871" s="627"/>
      <c r="H871" s="628"/>
      <c r="I871" s="628"/>
      <c r="J871" s="273"/>
      <c r="K871" s="46" t="e">
        <f>VLOOKUP(A871,#REF!,1,0)</f>
        <v>#REF!</v>
      </c>
      <c r="L871" s="756"/>
    </row>
    <row r="872" spans="1:12" s="46" customFormat="1" outlineLevel="1">
      <c r="A872" s="3"/>
      <c r="B872" s="491"/>
      <c r="C872" s="480" t="s">
        <v>718</v>
      </c>
      <c r="D872" s="481"/>
      <c r="E872" s="484"/>
      <c r="F872" s="629" t="s">
        <v>20</v>
      </c>
      <c r="G872" s="630">
        <v>1</v>
      </c>
      <c r="H872" s="174">
        <v>20000</v>
      </c>
      <c r="I872" s="631">
        <f>H872*G872</f>
        <v>20000</v>
      </c>
      <c r="J872" s="273"/>
      <c r="K872" s="46" t="e">
        <f>VLOOKUP(A872,#REF!,1,0)</f>
        <v>#REF!</v>
      </c>
      <c r="L872" s="756"/>
    </row>
    <row r="873" spans="1:12" s="46" customFormat="1" outlineLevel="1">
      <c r="A873" s="3"/>
      <c r="B873" s="632"/>
      <c r="C873" s="633"/>
      <c r="D873" s="634"/>
      <c r="E873" s="484"/>
      <c r="F873" s="627"/>
      <c r="G873" s="708" t="s">
        <v>159</v>
      </c>
      <c r="H873" s="628"/>
      <c r="I873" s="177">
        <f>I872</f>
        <v>20000</v>
      </c>
      <c r="J873" s="273"/>
      <c r="K873" s="46" t="e">
        <f>VLOOKUP(A873,#REF!,1,0)</f>
        <v>#REF!</v>
      </c>
      <c r="L873" s="756"/>
    </row>
    <row r="874" spans="1:12" s="46" customFormat="1" outlineLevel="1">
      <c r="A874" s="3"/>
      <c r="B874" s="635"/>
      <c r="C874" s="636"/>
      <c r="D874" s="637"/>
      <c r="E874" s="484"/>
      <c r="F874" s="627"/>
      <c r="G874" s="627"/>
      <c r="H874" s="628"/>
      <c r="I874" s="628"/>
      <c r="J874" s="273"/>
      <c r="K874" s="46" t="e">
        <f>VLOOKUP(A874,#REF!,1,0)</f>
        <v>#REF!</v>
      </c>
      <c r="L874" s="756"/>
    </row>
    <row r="875" spans="1:12" s="46" customFormat="1" outlineLevel="1">
      <c r="A875" s="3"/>
      <c r="B875" s="491" t="s">
        <v>160</v>
      </c>
      <c r="C875" s="480" t="s">
        <v>161</v>
      </c>
      <c r="D875" s="481"/>
      <c r="E875" s="492"/>
      <c r="F875" s="628"/>
      <c r="G875" s="629"/>
      <c r="H875" s="628"/>
      <c r="I875" s="631">
        <f>I873+I870+I867</f>
        <v>72450</v>
      </c>
      <c r="J875" s="273"/>
      <c r="K875" s="46" t="e">
        <f>VLOOKUP(A875,#REF!,1,0)</f>
        <v>#REF!</v>
      </c>
      <c r="L875" s="756"/>
    </row>
    <row r="876" spans="1:12" s="46" customFormat="1" outlineLevel="1">
      <c r="A876" s="3"/>
      <c r="B876" s="491" t="s">
        <v>162</v>
      </c>
      <c r="C876" s="480" t="s">
        <v>82</v>
      </c>
      <c r="D876" s="481"/>
      <c r="E876" s="747"/>
      <c r="F876" s="497"/>
      <c r="G876" s="638">
        <f>$J$3</f>
        <v>0.15</v>
      </c>
      <c r="H876" s="492"/>
      <c r="I876" s="493">
        <f>I875*G876</f>
        <v>10867.5</v>
      </c>
      <c r="J876" s="273"/>
      <c r="K876" s="46" t="e">
        <f>VLOOKUP(A876,#REF!,1,0)</f>
        <v>#REF!</v>
      </c>
      <c r="L876" s="756"/>
    </row>
    <row r="877" spans="1:12" s="46" customFormat="1" outlineLevel="1">
      <c r="A877" s="3"/>
      <c r="B877" s="491" t="s">
        <v>163</v>
      </c>
      <c r="C877" s="480" t="s">
        <v>164</v>
      </c>
      <c r="D877" s="481"/>
      <c r="E877" s="492"/>
      <c r="F877" s="628"/>
      <c r="G877" s="629"/>
      <c r="H877" s="628"/>
      <c r="I877" s="631">
        <f>I876+I875</f>
        <v>83317.5</v>
      </c>
      <c r="J877" s="273"/>
      <c r="K877" s="46" t="e">
        <f>VLOOKUP(A877,#REF!,1,0)</f>
        <v>#REF!</v>
      </c>
      <c r="L877" s="756"/>
    </row>
    <row r="878" spans="1:12" outlineLevel="1">
      <c r="B878" s="184"/>
      <c r="D878" s="186"/>
      <c r="E878" s="186"/>
      <c r="F878" s="186"/>
      <c r="G878" s="184"/>
      <c r="H878" s="307"/>
      <c r="I878" s="307"/>
      <c r="K878" s="46" t="e">
        <f>VLOOKUP(A878,#REF!,1,0)</f>
        <v>#REF!</v>
      </c>
    </row>
    <row r="879" spans="1:12" s="46" customFormat="1">
      <c r="A879" s="3" t="str">
        <f>B879</f>
        <v>Anl. WP-1</v>
      </c>
      <c r="B879" s="487" t="s">
        <v>621</v>
      </c>
      <c r="C879" s="3"/>
      <c r="D879" s="3" t="s">
        <v>623</v>
      </c>
      <c r="E879" s="12"/>
      <c r="F879" s="12"/>
      <c r="G879" s="12"/>
      <c r="H879" s="624"/>
      <c r="I879" s="2"/>
      <c r="J879" s="273">
        <f>I896</f>
        <v>172097.5</v>
      </c>
      <c r="K879" s="46" t="e">
        <f>VLOOKUP(A879,#REF!,1,0)</f>
        <v>#REF!</v>
      </c>
      <c r="L879" s="756"/>
    </row>
    <row r="880" spans="1:12" s="46" customFormat="1" ht="31.2" outlineLevel="1">
      <c r="A880" s="13"/>
      <c r="B880" s="639" t="s">
        <v>75</v>
      </c>
      <c r="C880" s="1269" t="s">
        <v>140</v>
      </c>
      <c r="D880" s="1270"/>
      <c r="E880" s="639" t="s">
        <v>141</v>
      </c>
      <c r="F880" s="639" t="s">
        <v>142</v>
      </c>
      <c r="G880" s="639" t="s">
        <v>143</v>
      </c>
      <c r="H880" s="640" t="s">
        <v>144</v>
      </c>
      <c r="I880" s="640" t="s">
        <v>145</v>
      </c>
      <c r="J880" s="166"/>
      <c r="K880" s="46" t="e">
        <f>VLOOKUP(A880,#REF!,1,0)</f>
        <v>#REF!</v>
      </c>
      <c r="L880" s="756"/>
    </row>
    <row r="881" spans="1:12" s="46" customFormat="1" outlineLevel="1">
      <c r="A881" s="3"/>
      <c r="B881" s="640" t="s">
        <v>146</v>
      </c>
      <c r="C881" s="644" t="s">
        <v>147</v>
      </c>
      <c r="D881" s="652"/>
      <c r="E881" s="641"/>
      <c r="F881" s="641"/>
      <c r="G881" s="641"/>
      <c r="H881" s="654"/>
      <c r="I881" s="654"/>
      <c r="J881" s="273"/>
      <c r="K881" s="46" t="e">
        <f>VLOOKUP(A881,#REF!,1,0)</f>
        <v>#REF!</v>
      </c>
      <c r="L881" s="756"/>
    </row>
    <row r="882" spans="1:12" s="46" customFormat="1" outlineLevel="1">
      <c r="A882" s="3"/>
      <c r="B882" s="640"/>
      <c r="C882" s="644" t="s">
        <v>77</v>
      </c>
      <c r="D882" s="652"/>
      <c r="E882" s="640" t="s">
        <v>148</v>
      </c>
      <c r="F882" s="640" t="s">
        <v>76</v>
      </c>
      <c r="G882" s="642">
        <v>0.1</v>
      </c>
      <c r="H882" s="174">
        <f>VLOOKUP(C882,'UPAH-BAHAN'!D:F,2,0)</f>
        <v>120000</v>
      </c>
      <c r="I882" s="655">
        <f>G882*H882</f>
        <v>12000</v>
      </c>
      <c r="J882" s="273"/>
      <c r="K882" s="46" t="e">
        <f>VLOOKUP(A882,#REF!,1,0)</f>
        <v>#REF!</v>
      </c>
      <c r="L882" s="756"/>
    </row>
    <row r="883" spans="1:12" s="46" customFormat="1" outlineLevel="1">
      <c r="A883" s="3"/>
      <c r="B883" s="640"/>
      <c r="C883" s="644" t="s">
        <v>86</v>
      </c>
      <c r="D883" s="652"/>
      <c r="E883" s="640" t="s">
        <v>150</v>
      </c>
      <c r="F883" s="640" t="s">
        <v>76</v>
      </c>
      <c r="G883" s="642">
        <v>0.2</v>
      </c>
      <c r="H883" s="174">
        <f>VLOOKUP(C883,'UPAH-BAHAN'!D:F,2,0)</f>
        <v>160000</v>
      </c>
      <c r="I883" s="655">
        <f>G883*H883</f>
        <v>32000</v>
      </c>
      <c r="J883" s="273"/>
      <c r="K883" s="46" t="e">
        <f>VLOOKUP(A883,#REF!,1,0)</f>
        <v>#REF!</v>
      </c>
      <c r="L883" s="756"/>
    </row>
    <row r="884" spans="1:12" s="46" customFormat="1" outlineLevel="1">
      <c r="A884" s="3"/>
      <c r="B884" s="640"/>
      <c r="C884" s="644" t="s">
        <v>79</v>
      </c>
      <c r="D884" s="652"/>
      <c r="E884" s="640" t="s">
        <v>150</v>
      </c>
      <c r="F884" s="640" t="s">
        <v>76</v>
      </c>
      <c r="G884" s="642">
        <v>0.02</v>
      </c>
      <c r="H884" s="174">
        <f>VLOOKUP(C884,'UPAH-BAHAN'!D:F,2,0)</f>
        <v>170000</v>
      </c>
      <c r="I884" s="655">
        <f>G884*H884</f>
        <v>3400</v>
      </c>
      <c r="J884" s="273"/>
      <c r="K884" s="46" t="e">
        <f>VLOOKUP(A884,#REF!,1,0)</f>
        <v>#REF!</v>
      </c>
      <c r="L884" s="756"/>
    </row>
    <row r="885" spans="1:12" s="46" customFormat="1" outlineLevel="1">
      <c r="A885" s="3"/>
      <c r="B885" s="640"/>
      <c r="C885" s="644" t="s">
        <v>80</v>
      </c>
      <c r="D885" s="652"/>
      <c r="E885" s="640" t="s">
        <v>151</v>
      </c>
      <c r="F885" s="640" t="s">
        <v>76</v>
      </c>
      <c r="G885" s="640">
        <v>0.01</v>
      </c>
      <c r="H885" s="174">
        <f>VLOOKUP(C885,'UPAH-BAHAN'!D:F,2,0)</f>
        <v>225000</v>
      </c>
      <c r="I885" s="655">
        <f>G885*H885</f>
        <v>2250</v>
      </c>
      <c r="J885" s="273"/>
      <c r="K885" s="46" t="e">
        <f>VLOOKUP(A885,#REF!,1,0)</f>
        <v>#REF!</v>
      </c>
      <c r="L885" s="756"/>
    </row>
    <row r="886" spans="1:12" s="46" customFormat="1" outlineLevel="1">
      <c r="A886" s="3"/>
      <c r="B886" s="640"/>
      <c r="C886" s="644"/>
      <c r="D886" s="652"/>
      <c r="E886" s="641"/>
      <c r="F886" s="641"/>
      <c r="G886" s="710" t="s">
        <v>152</v>
      </c>
      <c r="H886" s="656"/>
      <c r="I886" s="655">
        <f>SUM(I882:I885)</f>
        <v>49650</v>
      </c>
      <c r="J886" s="273"/>
      <c r="K886" s="46" t="e">
        <f>VLOOKUP(A886,#REF!,1,0)</f>
        <v>#REF!</v>
      </c>
      <c r="L886" s="756"/>
    </row>
    <row r="887" spans="1:12" s="46" customFormat="1" outlineLevel="1">
      <c r="A887" s="3"/>
      <c r="B887" s="640" t="s">
        <v>153</v>
      </c>
      <c r="C887" s="644" t="s">
        <v>154</v>
      </c>
      <c r="D887" s="652"/>
      <c r="E887" s="641"/>
      <c r="F887" s="641"/>
      <c r="G887" s="641"/>
      <c r="H887" s="654"/>
      <c r="I887" s="654"/>
      <c r="J887" s="273"/>
      <c r="K887" s="46" t="e">
        <f>VLOOKUP(A887,#REF!,1,0)</f>
        <v>#REF!</v>
      </c>
      <c r="L887" s="756"/>
    </row>
    <row r="888" spans="1:12" s="46" customFormat="1" outlineLevel="1">
      <c r="A888" s="3"/>
      <c r="B888" s="640"/>
      <c r="C888" s="644" t="s">
        <v>622</v>
      </c>
      <c r="D888" s="652"/>
      <c r="E888" s="640"/>
      <c r="F888" s="640" t="s">
        <v>23</v>
      </c>
      <c r="G888" s="642">
        <v>0.05</v>
      </c>
      <c r="H888" s="174">
        <v>1800000</v>
      </c>
      <c r="I888" s="654">
        <f>G888*H888</f>
        <v>90000</v>
      </c>
      <c r="J888" s="273"/>
      <c r="K888" s="46" t="e">
        <f>VLOOKUP(A888,#REF!,1,0)</f>
        <v>#REF!</v>
      </c>
      <c r="L888" s="756"/>
    </row>
    <row r="889" spans="1:12" s="46" customFormat="1" outlineLevel="1">
      <c r="A889" s="3"/>
      <c r="B889" s="640"/>
      <c r="C889" s="644"/>
      <c r="D889" s="652"/>
      <c r="E889" s="641"/>
      <c r="F889" s="641"/>
      <c r="G889" s="710" t="s">
        <v>156</v>
      </c>
      <c r="H889" s="654"/>
      <c r="I889" s="654">
        <f>SUM(I888:I888)</f>
        <v>90000</v>
      </c>
      <c r="J889" s="273"/>
      <c r="K889" s="46" t="e">
        <f>VLOOKUP(A889,#REF!,1,0)</f>
        <v>#REF!</v>
      </c>
      <c r="L889" s="756"/>
    </row>
    <row r="890" spans="1:12" s="46" customFormat="1" outlineLevel="1">
      <c r="A890" s="3"/>
      <c r="B890" s="640" t="s">
        <v>157</v>
      </c>
      <c r="C890" s="644" t="s">
        <v>158</v>
      </c>
      <c r="D890" s="652"/>
      <c r="E890" s="641"/>
      <c r="F890" s="641"/>
      <c r="G890" s="641"/>
      <c r="H890" s="654"/>
      <c r="I890" s="654"/>
      <c r="J890" s="273"/>
      <c r="K890" s="46" t="e">
        <f>VLOOKUP(A890,#REF!,1,0)</f>
        <v>#REF!</v>
      </c>
      <c r="L890" s="756"/>
    </row>
    <row r="891" spans="1:12" s="46" customFormat="1" outlineLevel="1">
      <c r="A891" s="3"/>
      <c r="B891" s="491"/>
      <c r="C891" s="480" t="s">
        <v>718</v>
      </c>
      <c r="D891" s="481"/>
      <c r="E891" s="484"/>
      <c r="F891" s="629" t="s">
        <v>20</v>
      </c>
      <c r="G891" s="630">
        <v>1</v>
      </c>
      <c r="H891" s="174">
        <v>10000</v>
      </c>
      <c r="I891" s="631">
        <f>H891*G891</f>
        <v>10000</v>
      </c>
      <c r="J891" s="273"/>
      <c r="K891" s="46" t="e">
        <f>VLOOKUP(A891,#REF!,1,0)</f>
        <v>#REF!</v>
      </c>
      <c r="L891" s="756"/>
    </row>
    <row r="892" spans="1:12" s="46" customFormat="1" outlineLevel="1">
      <c r="A892" s="3"/>
      <c r="B892" s="640"/>
      <c r="C892" s="644"/>
      <c r="D892" s="652"/>
      <c r="E892" s="641"/>
      <c r="F892" s="641"/>
      <c r="G892" s="710" t="s">
        <v>159</v>
      </c>
      <c r="H892" s="654"/>
      <c r="I892" s="654">
        <f>SUM(I890:I891)</f>
        <v>10000</v>
      </c>
      <c r="J892" s="273"/>
      <c r="K892" s="46" t="e">
        <f>VLOOKUP(A892,#REF!,1,0)</f>
        <v>#REF!</v>
      </c>
      <c r="L892" s="756"/>
    </row>
    <row r="893" spans="1:12" s="46" customFormat="1" outlineLevel="1">
      <c r="A893" s="3"/>
      <c r="B893" s="640"/>
      <c r="C893" s="644"/>
      <c r="D893" s="652"/>
      <c r="E893" s="641"/>
      <c r="F893" s="641"/>
      <c r="G893" s="641"/>
      <c r="H893" s="654"/>
      <c r="I893" s="654"/>
      <c r="J893" s="273"/>
      <c r="K893" s="46" t="e">
        <f>VLOOKUP(A893,#REF!,1,0)</f>
        <v>#REF!</v>
      </c>
      <c r="L893" s="756"/>
    </row>
    <row r="894" spans="1:12" s="46" customFormat="1" outlineLevel="1">
      <c r="A894" s="3"/>
      <c r="B894" s="640" t="s">
        <v>160</v>
      </c>
      <c r="C894" s="644" t="s">
        <v>161</v>
      </c>
      <c r="D894" s="652"/>
      <c r="E894" s="645"/>
      <c r="F894" s="645"/>
      <c r="G894" s="640"/>
      <c r="H894" s="654"/>
      <c r="I894" s="654">
        <f>I889+I892+I886</f>
        <v>149650</v>
      </c>
      <c r="J894" s="273"/>
      <c r="K894" s="46" t="e">
        <f>VLOOKUP(A894,#REF!,1,0)</f>
        <v>#REF!</v>
      </c>
      <c r="L894" s="756"/>
    </row>
    <row r="895" spans="1:12" s="46" customFormat="1" outlineLevel="1">
      <c r="A895" s="3"/>
      <c r="B895" s="640" t="s">
        <v>162</v>
      </c>
      <c r="C895" s="644" t="s">
        <v>82</v>
      </c>
      <c r="D895" s="652"/>
      <c r="E895" s="748"/>
      <c r="F895" s="646"/>
      <c r="G895" s="647">
        <f>$J$3</f>
        <v>0.15</v>
      </c>
      <c r="H895" s="645"/>
      <c r="I895" s="648">
        <f>I894*G895</f>
        <v>22447.5</v>
      </c>
      <c r="J895" s="172"/>
      <c r="K895" s="46" t="e">
        <f>VLOOKUP(A895,#REF!,1,0)</f>
        <v>#REF!</v>
      </c>
      <c r="L895" s="756"/>
    </row>
    <row r="896" spans="1:12" s="46" customFormat="1" outlineLevel="1">
      <c r="A896" s="3"/>
      <c r="B896" s="640" t="s">
        <v>163</v>
      </c>
      <c r="C896" s="644" t="s">
        <v>164</v>
      </c>
      <c r="D896" s="652"/>
      <c r="E896" s="645"/>
      <c r="F896" s="645"/>
      <c r="G896" s="640"/>
      <c r="H896" s="654"/>
      <c r="I896" s="654">
        <f>I894+I895</f>
        <v>172097.5</v>
      </c>
      <c r="J896" s="273"/>
      <c r="K896" s="46" t="e">
        <f>VLOOKUP(A896,#REF!,1,0)</f>
        <v>#REF!</v>
      </c>
      <c r="L896" s="756"/>
    </row>
    <row r="897" spans="1:12" s="46" customFormat="1" outlineLevel="1">
      <c r="A897" s="3"/>
      <c r="B897" s="649"/>
      <c r="C897" s="2"/>
      <c r="D897" s="499"/>
      <c r="E897" s="499"/>
      <c r="F897" s="499"/>
      <c r="G897" s="649"/>
      <c r="H897" s="657"/>
      <c r="I897" s="657"/>
      <c r="J897" s="273"/>
      <c r="L897" s="756"/>
    </row>
    <row r="898" spans="1:12" s="46" customFormat="1">
      <c r="A898" s="3"/>
      <c r="B898" s="649"/>
      <c r="C898" s="2"/>
      <c r="D898" s="499"/>
      <c r="E898" s="499"/>
      <c r="F898" s="499"/>
      <c r="G898" s="649"/>
      <c r="H898" s="657"/>
      <c r="I898" s="657"/>
      <c r="J898" s="273"/>
      <c r="L898" s="756"/>
    </row>
    <row r="899" spans="1:12" ht="20.399999999999999">
      <c r="A899" s="155"/>
      <c r="B899" s="571" t="s">
        <v>66</v>
      </c>
      <c r="C899" s="156"/>
      <c r="D899" s="156"/>
      <c r="E899" s="156"/>
      <c r="F899" s="156"/>
      <c r="G899" s="712"/>
      <c r="H899" s="157"/>
      <c r="I899" s="156"/>
      <c r="J899" s="158"/>
    </row>
    <row r="900" spans="1:12">
      <c r="A900" s="167" t="str">
        <f>B900</f>
        <v>Hit. C 75 0,75</v>
      </c>
      <c r="B900" s="159" t="s">
        <v>272</v>
      </c>
      <c r="D900" s="159" t="s">
        <v>273</v>
      </c>
      <c r="H900" s="271"/>
      <c r="I900" s="272"/>
      <c r="J900" s="308">
        <f>I920</f>
        <v>180174.33333333331</v>
      </c>
    </row>
    <row r="901" spans="1:12" ht="31.2" outlineLevel="1">
      <c r="A901" s="163"/>
      <c r="B901" s="164" t="s">
        <v>75</v>
      </c>
      <c r="C901" s="1254" t="s">
        <v>140</v>
      </c>
      <c r="D901" s="1255"/>
      <c r="E901" s="164" t="s">
        <v>141</v>
      </c>
      <c r="F901" s="164" t="s">
        <v>142</v>
      </c>
      <c r="G901" s="164" t="s">
        <v>143</v>
      </c>
      <c r="H901" s="165" t="s">
        <v>144</v>
      </c>
      <c r="I901" s="165" t="s">
        <v>145</v>
      </c>
      <c r="J901" s="166"/>
    </row>
    <row r="902" spans="1:12" outlineLevel="1">
      <c r="B902" s="165" t="s">
        <v>146</v>
      </c>
      <c r="C902" s="168" t="s">
        <v>147</v>
      </c>
      <c r="D902" s="169"/>
      <c r="E902" s="170"/>
      <c r="F902" s="274"/>
      <c r="G902" s="274"/>
      <c r="H902" s="188"/>
      <c r="I902" s="188"/>
      <c r="J902" s="273"/>
    </row>
    <row r="903" spans="1:12" outlineLevel="1">
      <c r="B903" s="165"/>
      <c r="C903" s="168" t="s">
        <v>77</v>
      </c>
      <c r="D903" s="169"/>
      <c r="E903" s="165" t="s">
        <v>148</v>
      </c>
      <c r="F903" s="275" t="s">
        <v>76</v>
      </c>
      <c r="G903" s="276">
        <v>0.3</v>
      </c>
      <c r="H903" s="174">
        <f>VLOOKUP(C903,'UPAH-BAHAN'!D:F,2,0)</f>
        <v>120000</v>
      </c>
      <c r="I903" s="188">
        <f>G903*H903</f>
        <v>36000</v>
      </c>
      <c r="J903" s="273"/>
    </row>
    <row r="904" spans="1:12" outlineLevel="1">
      <c r="B904" s="165"/>
      <c r="C904" s="168" t="s">
        <v>78</v>
      </c>
      <c r="D904" s="169"/>
      <c r="E904" s="165" t="s">
        <v>150</v>
      </c>
      <c r="F904" s="275" t="s">
        <v>76</v>
      </c>
      <c r="G904" s="276">
        <v>0.3</v>
      </c>
      <c r="H904" s="174">
        <f>VLOOKUP(C904,'UPAH-BAHAN'!D:F,2,0)</f>
        <v>160000</v>
      </c>
      <c r="I904" s="188">
        <f>G904*H904</f>
        <v>48000</v>
      </c>
      <c r="J904" s="273"/>
    </row>
    <row r="905" spans="1:12" outlineLevel="1">
      <c r="B905" s="165"/>
      <c r="C905" s="168" t="s">
        <v>99</v>
      </c>
      <c r="D905" s="169"/>
      <c r="E905" s="165" t="s">
        <v>191</v>
      </c>
      <c r="F905" s="275" t="s">
        <v>76</v>
      </c>
      <c r="G905" s="276">
        <v>0.05</v>
      </c>
      <c r="H905" s="174">
        <f>VLOOKUP(C905,'UPAH-BAHAN'!D:F,2,0)</f>
        <v>170000</v>
      </c>
      <c r="I905" s="188">
        <f>G905*H905</f>
        <v>8500</v>
      </c>
      <c r="J905" s="273"/>
    </row>
    <row r="906" spans="1:12" outlineLevel="1">
      <c r="B906" s="165"/>
      <c r="C906" s="168" t="s">
        <v>80</v>
      </c>
      <c r="D906" s="169"/>
      <c r="E906" s="165" t="s">
        <v>192</v>
      </c>
      <c r="F906" s="275" t="s">
        <v>76</v>
      </c>
      <c r="G906" s="276">
        <v>0.05</v>
      </c>
      <c r="H906" s="174">
        <f>VLOOKUP(C906,'UPAH-BAHAN'!D:F,2,0)</f>
        <v>225000</v>
      </c>
      <c r="I906" s="188">
        <f>G906*H906</f>
        <v>11250</v>
      </c>
      <c r="J906" s="273"/>
    </row>
    <row r="907" spans="1:12" outlineLevel="1">
      <c r="B907" s="165"/>
      <c r="C907" s="168"/>
      <c r="D907" s="169"/>
      <c r="E907" s="170"/>
      <c r="F907" s="274"/>
      <c r="G907" s="340" t="s">
        <v>171</v>
      </c>
      <c r="H907" s="277"/>
      <c r="I907" s="188">
        <f>SUM(I903:I906)</f>
        <v>103750</v>
      </c>
      <c r="J907" s="273"/>
    </row>
    <row r="908" spans="1:12" outlineLevel="1">
      <c r="B908" s="165" t="s">
        <v>153</v>
      </c>
      <c r="C908" s="168" t="s">
        <v>154</v>
      </c>
      <c r="D908" s="169"/>
      <c r="E908" s="170"/>
      <c r="F908" s="274"/>
      <c r="G908" s="274"/>
      <c r="H908" s="188"/>
      <c r="I908" s="188"/>
      <c r="J908" s="273"/>
    </row>
    <row r="909" spans="1:12" outlineLevel="1">
      <c r="B909" s="165"/>
      <c r="C909" s="168" t="s">
        <v>274</v>
      </c>
      <c r="D909" s="169"/>
      <c r="E909" s="170"/>
      <c r="F909" s="275" t="s">
        <v>21</v>
      </c>
      <c r="G909" s="339">
        <v>1.5</v>
      </c>
      <c r="H909" s="174">
        <f>VLOOKUP(C909,'UPAH-BAHAN'!D:F,2,0)</f>
        <v>17500</v>
      </c>
      <c r="I909" s="188">
        <f>G909*H909</f>
        <v>26250</v>
      </c>
      <c r="J909" s="273"/>
    </row>
    <row r="910" spans="1:12" outlineLevel="1">
      <c r="B910" s="165"/>
      <c r="C910" s="168" t="s">
        <v>275</v>
      </c>
      <c r="D910" s="169"/>
      <c r="E910" s="170"/>
      <c r="F910" s="275" t="s">
        <v>21</v>
      </c>
      <c r="G910" s="275">
        <v>2</v>
      </c>
      <c r="H910" s="174">
        <f>VLOOKUP(C910,'UPAH-BAHAN'!D:F,2,0)</f>
        <v>11666.666666666666</v>
      </c>
      <c r="I910" s="188">
        <f>G910*H910</f>
        <v>23333.333333333332</v>
      </c>
      <c r="J910" s="273"/>
    </row>
    <row r="911" spans="1:12" outlineLevel="1">
      <c r="B911" s="165"/>
      <c r="C911" s="168" t="s">
        <v>276</v>
      </c>
      <c r="D911" s="169"/>
      <c r="E911" s="170"/>
      <c r="F911" s="275" t="s">
        <v>23</v>
      </c>
      <c r="G911" s="275">
        <v>0.4</v>
      </c>
      <c r="H911" s="174">
        <f>VLOOKUP(C911,'UPAH-BAHAN'!D:F,2,0)</f>
        <v>850</v>
      </c>
      <c r="I911" s="188">
        <f>G911*H911</f>
        <v>340</v>
      </c>
      <c r="J911" s="273"/>
    </row>
    <row r="912" spans="1:12" outlineLevel="1">
      <c r="B912" s="165"/>
      <c r="C912" s="168" t="s">
        <v>277</v>
      </c>
      <c r="D912" s="169"/>
      <c r="E912" s="170"/>
      <c r="F912" s="275" t="s">
        <v>23</v>
      </c>
      <c r="G912" s="275">
        <v>12</v>
      </c>
      <c r="H912" s="174">
        <f>VLOOKUP(C912,'UPAH-BAHAN'!D:F,2,0)</f>
        <v>250</v>
      </c>
      <c r="I912" s="188">
        <f>G912*H912</f>
        <v>3000</v>
      </c>
      <c r="J912" s="273"/>
    </row>
    <row r="913" spans="1:10" outlineLevel="1">
      <c r="B913" s="165"/>
      <c r="C913" s="168"/>
      <c r="D913" s="169"/>
      <c r="E913" s="170"/>
      <c r="F913" s="274"/>
      <c r="G913" s="340" t="s">
        <v>172</v>
      </c>
      <c r="H913" s="277"/>
      <c r="I913" s="188">
        <f>SUM(I909:I912)</f>
        <v>52923.333333333328</v>
      </c>
      <c r="J913" s="273"/>
    </row>
    <row r="914" spans="1:10" outlineLevel="1">
      <c r="B914" s="165" t="s">
        <v>157</v>
      </c>
      <c r="C914" s="168" t="s">
        <v>158</v>
      </c>
      <c r="D914" s="169"/>
      <c r="E914" s="170"/>
      <c r="F914" s="274"/>
      <c r="G914" s="274"/>
      <c r="H914" s="188"/>
      <c r="I914" s="188"/>
      <c r="J914" s="273"/>
    </row>
    <row r="915" spans="1:10" outlineLevel="1">
      <c r="B915" s="165"/>
      <c r="C915" s="168"/>
      <c r="D915" s="169"/>
      <c r="E915" s="170"/>
      <c r="F915" s="274"/>
      <c r="G915" s="274"/>
      <c r="H915" s="188"/>
      <c r="I915" s="188"/>
      <c r="J915" s="273"/>
    </row>
    <row r="916" spans="1:10" outlineLevel="1">
      <c r="B916" s="165"/>
      <c r="C916" s="168"/>
      <c r="D916" s="169"/>
      <c r="E916" s="170"/>
      <c r="F916" s="274"/>
      <c r="G916" s="340" t="s">
        <v>179</v>
      </c>
      <c r="H916" s="277"/>
      <c r="I916" s="188">
        <f>I915</f>
        <v>0</v>
      </c>
      <c r="J916" s="273"/>
    </row>
    <row r="917" spans="1:10" outlineLevel="1">
      <c r="B917" s="165"/>
      <c r="C917" s="168"/>
      <c r="D917" s="169"/>
      <c r="E917" s="170"/>
      <c r="F917" s="274"/>
      <c r="G917" s="274"/>
      <c r="H917" s="188"/>
      <c r="I917" s="188"/>
      <c r="J917" s="273"/>
    </row>
    <row r="918" spans="1:10" outlineLevel="1">
      <c r="B918" s="165" t="s">
        <v>160</v>
      </c>
      <c r="C918" s="168" t="s">
        <v>161</v>
      </c>
      <c r="D918" s="169"/>
      <c r="E918" s="171"/>
      <c r="F918" s="279"/>
      <c r="G918" s="275"/>
      <c r="H918" s="188"/>
      <c r="I918" s="188">
        <f>I916+I913+I907</f>
        <v>156673.33333333331</v>
      </c>
      <c r="J918" s="273"/>
    </row>
    <row r="919" spans="1:10" outlineLevel="1">
      <c r="B919" s="165" t="s">
        <v>162</v>
      </c>
      <c r="C919" s="168" t="s">
        <v>82</v>
      </c>
      <c r="D919" s="169"/>
      <c r="E919" s="194"/>
      <c r="F919" s="179"/>
      <c r="G919" s="180">
        <f>$J$3</f>
        <v>0.15</v>
      </c>
      <c r="H919" s="171"/>
      <c r="I919" s="175">
        <f>I918*G919</f>
        <v>23500.999999999996</v>
      </c>
    </row>
    <row r="920" spans="1:10" outlineLevel="1">
      <c r="B920" s="165" t="s">
        <v>163</v>
      </c>
      <c r="C920" s="168" t="s">
        <v>164</v>
      </c>
      <c r="D920" s="169"/>
      <c r="E920" s="171"/>
      <c r="F920" s="279"/>
      <c r="G920" s="275"/>
      <c r="H920" s="188"/>
      <c r="I920" s="188">
        <f>SUM(I918:I919)</f>
        <v>180174.33333333331</v>
      </c>
      <c r="J920" s="273"/>
    </row>
    <row r="921" spans="1:10" outlineLevel="1">
      <c r="B921" s="184"/>
      <c r="D921" s="186"/>
      <c r="E921" s="186"/>
      <c r="F921" s="280"/>
      <c r="G921" s="718"/>
      <c r="H921" s="281"/>
      <c r="I921" s="281"/>
      <c r="J921" s="273"/>
    </row>
    <row r="922" spans="1:10">
      <c r="A922" s="167" t="str">
        <f>B922</f>
        <v>A.4.5.2.40.</v>
      </c>
      <c r="B922" s="159" t="s">
        <v>122</v>
      </c>
      <c r="D922" s="159" t="s">
        <v>190</v>
      </c>
      <c r="H922" s="271"/>
      <c r="I922" s="272"/>
      <c r="J922" s="308">
        <f>I940</f>
        <v>156488.16666666669</v>
      </c>
    </row>
    <row r="923" spans="1:10" ht="31.2" outlineLevel="1">
      <c r="A923" s="163"/>
      <c r="B923" s="164" t="s">
        <v>75</v>
      </c>
      <c r="C923" s="1254" t="s">
        <v>140</v>
      </c>
      <c r="D923" s="1255"/>
      <c r="E923" s="164" t="s">
        <v>141</v>
      </c>
      <c r="F923" s="164" t="s">
        <v>142</v>
      </c>
      <c r="G923" s="164" t="s">
        <v>143</v>
      </c>
      <c r="H923" s="165" t="s">
        <v>144</v>
      </c>
      <c r="I923" s="165" t="s">
        <v>145</v>
      </c>
      <c r="J923" s="166"/>
    </row>
    <row r="924" spans="1:10" outlineLevel="1">
      <c r="B924" s="165" t="s">
        <v>146</v>
      </c>
      <c r="C924" s="168" t="s">
        <v>147</v>
      </c>
      <c r="D924" s="169"/>
      <c r="E924" s="170"/>
      <c r="F924" s="274"/>
      <c r="G924" s="274"/>
      <c r="H924" s="188"/>
      <c r="I924" s="188"/>
      <c r="J924" s="273"/>
    </row>
    <row r="925" spans="1:10" outlineLevel="1">
      <c r="B925" s="165"/>
      <c r="C925" s="168" t="s">
        <v>77</v>
      </c>
      <c r="D925" s="169"/>
      <c r="E925" s="165" t="s">
        <v>148</v>
      </c>
      <c r="F925" s="275" t="s">
        <v>76</v>
      </c>
      <c r="G925" s="276">
        <v>0.15</v>
      </c>
      <c r="H925" s="174">
        <f>VLOOKUP(C925,'UPAH-BAHAN'!D:F,2,0)</f>
        <v>120000</v>
      </c>
      <c r="I925" s="188">
        <f>G925*H925</f>
        <v>18000</v>
      </c>
      <c r="J925" s="273"/>
    </row>
    <row r="926" spans="1:10" outlineLevel="1">
      <c r="B926" s="165"/>
      <c r="C926" s="168" t="s">
        <v>78</v>
      </c>
      <c r="D926" s="169"/>
      <c r="E926" s="165" t="s">
        <v>150</v>
      </c>
      <c r="F926" s="275" t="s">
        <v>76</v>
      </c>
      <c r="G926" s="276">
        <v>7.4999999999999997E-2</v>
      </c>
      <c r="H926" s="174">
        <f>VLOOKUP(C926,'UPAH-BAHAN'!D:F,2,0)</f>
        <v>160000</v>
      </c>
      <c r="I926" s="188">
        <f>G926*H926</f>
        <v>12000</v>
      </c>
      <c r="J926" s="273"/>
    </row>
    <row r="927" spans="1:10" outlineLevel="1">
      <c r="B927" s="165"/>
      <c r="C927" s="168" t="s">
        <v>99</v>
      </c>
      <c r="D927" s="169"/>
      <c r="E927" s="165" t="s">
        <v>191</v>
      </c>
      <c r="F927" s="275" t="s">
        <v>76</v>
      </c>
      <c r="G927" s="276">
        <v>8.0000000000000002E-3</v>
      </c>
      <c r="H927" s="174">
        <f>VLOOKUP(C927,'UPAH-BAHAN'!D:F,2,0)</f>
        <v>170000</v>
      </c>
      <c r="I927" s="188">
        <f>G927*H927</f>
        <v>1360</v>
      </c>
      <c r="J927" s="273"/>
    </row>
    <row r="928" spans="1:10" outlineLevel="1">
      <c r="B928" s="165"/>
      <c r="C928" s="168" t="s">
        <v>80</v>
      </c>
      <c r="D928" s="169"/>
      <c r="E928" s="165" t="s">
        <v>192</v>
      </c>
      <c r="F928" s="275" t="s">
        <v>76</v>
      </c>
      <c r="G928" s="275">
        <v>6.0000000000000001E-3</v>
      </c>
      <c r="H928" s="174">
        <f>VLOOKUP(C928,'UPAH-BAHAN'!D:F,2,0)</f>
        <v>225000</v>
      </c>
      <c r="I928" s="188">
        <f>G928*H928</f>
        <v>1350</v>
      </c>
      <c r="J928" s="273"/>
    </row>
    <row r="929" spans="1:10" outlineLevel="1">
      <c r="B929" s="165"/>
      <c r="C929" s="168"/>
      <c r="D929" s="169"/>
      <c r="E929" s="170"/>
      <c r="F929" s="274"/>
      <c r="G929" s="340" t="s">
        <v>171</v>
      </c>
      <c r="H929" s="277"/>
      <c r="I929" s="188">
        <f>SUM(I925:I928)</f>
        <v>32710</v>
      </c>
      <c r="J929" s="273"/>
    </row>
    <row r="930" spans="1:10" outlineLevel="1">
      <c r="B930" s="165" t="s">
        <v>153</v>
      </c>
      <c r="C930" s="168" t="s">
        <v>154</v>
      </c>
      <c r="D930" s="169"/>
      <c r="E930" s="170"/>
      <c r="F930" s="274"/>
      <c r="G930" s="274"/>
      <c r="H930" s="188"/>
      <c r="I930" s="188"/>
      <c r="J930" s="273"/>
    </row>
    <row r="931" spans="1:10" outlineLevel="1">
      <c r="B931" s="165"/>
      <c r="C931" s="168" t="s">
        <v>193</v>
      </c>
      <c r="D931" s="169"/>
      <c r="E931" s="170"/>
      <c r="F931" s="275" t="s">
        <v>21</v>
      </c>
      <c r="G931" s="276">
        <f>(1/0.75)*1.1</f>
        <v>1.4666666666666668</v>
      </c>
      <c r="H931" s="174">
        <f>VLOOKUP(C931,'UPAH-BAHAN'!D:F,2,0)</f>
        <v>70000</v>
      </c>
      <c r="I931" s="188">
        <f>G931*H931</f>
        <v>102666.66666666667</v>
      </c>
      <c r="J931" s="273"/>
    </row>
    <row r="932" spans="1:10" outlineLevel="1">
      <c r="B932" s="165"/>
      <c r="C932" s="168" t="s">
        <v>123</v>
      </c>
      <c r="D932" s="169"/>
      <c r="E932" s="170"/>
      <c r="F932" s="275" t="s">
        <v>69</v>
      </c>
      <c r="G932" s="275">
        <v>0.02</v>
      </c>
      <c r="H932" s="174">
        <f>VLOOKUP(C932,'UPAH-BAHAN'!D:F,2,0)</f>
        <v>35000</v>
      </c>
      <c r="I932" s="188">
        <f>G932*H932</f>
        <v>700</v>
      </c>
      <c r="J932" s="273"/>
    </row>
    <row r="933" spans="1:10" outlineLevel="1">
      <c r="B933" s="165"/>
      <c r="C933" s="168"/>
      <c r="D933" s="169"/>
      <c r="E933" s="170"/>
      <c r="F933" s="274"/>
      <c r="G933" s="340" t="s">
        <v>172</v>
      </c>
      <c r="H933" s="277"/>
      <c r="I933" s="188">
        <f>SUM(I931:I932)</f>
        <v>103366.66666666667</v>
      </c>
      <c r="J933" s="273"/>
    </row>
    <row r="934" spans="1:10" outlineLevel="1">
      <c r="B934" s="165" t="s">
        <v>157</v>
      </c>
      <c r="C934" s="168" t="s">
        <v>158</v>
      </c>
      <c r="D934" s="169"/>
      <c r="E934" s="170"/>
      <c r="F934" s="274"/>
      <c r="G934" s="274"/>
      <c r="H934" s="188"/>
      <c r="I934" s="188"/>
      <c r="J934" s="273"/>
    </row>
    <row r="935" spans="1:10" outlineLevel="1">
      <c r="B935" s="165"/>
      <c r="C935" s="168"/>
      <c r="D935" s="169"/>
      <c r="E935" s="170"/>
      <c r="F935" s="274"/>
      <c r="G935" s="274"/>
      <c r="H935" s="188"/>
      <c r="I935" s="188"/>
      <c r="J935" s="273"/>
    </row>
    <row r="936" spans="1:10" outlineLevel="1">
      <c r="B936" s="165"/>
      <c r="C936" s="168"/>
      <c r="D936" s="169"/>
      <c r="E936" s="170"/>
      <c r="F936" s="274"/>
      <c r="G936" s="340" t="s">
        <v>179</v>
      </c>
      <c r="H936" s="277"/>
      <c r="I936" s="188">
        <f>I935</f>
        <v>0</v>
      </c>
      <c r="J936" s="273"/>
    </row>
    <row r="937" spans="1:10" outlineLevel="1">
      <c r="B937" s="165"/>
      <c r="C937" s="168"/>
      <c r="D937" s="169"/>
      <c r="E937" s="170"/>
      <c r="F937" s="274"/>
      <c r="G937" s="274"/>
      <c r="H937" s="188"/>
      <c r="I937" s="188"/>
      <c r="J937" s="273"/>
    </row>
    <row r="938" spans="1:10" outlineLevel="1">
      <c r="B938" s="165" t="s">
        <v>160</v>
      </c>
      <c r="C938" s="168" t="s">
        <v>161</v>
      </c>
      <c r="D938" s="169"/>
      <c r="E938" s="171"/>
      <c r="F938" s="279"/>
      <c r="G938" s="275"/>
      <c r="H938" s="188"/>
      <c r="I938" s="188">
        <f>I936+I933+I929</f>
        <v>136076.66666666669</v>
      </c>
      <c r="J938" s="273"/>
    </row>
    <row r="939" spans="1:10" outlineLevel="1">
      <c r="B939" s="165" t="s">
        <v>162</v>
      </c>
      <c r="C939" s="168" t="s">
        <v>82</v>
      </c>
      <c r="D939" s="169"/>
      <c r="E939" s="194"/>
      <c r="F939" s="179"/>
      <c r="G939" s="180">
        <f>$J$3</f>
        <v>0.15</v>
      </c>
      <c r="H939" s="171"/>
      <c r="I939" s="175">
        <f>I938*G939</f>
        <v>20411.500000000004</v>
      </c>
    </row>
    <row r="940" spans="1:10" outlineLevel="1">
      <c r="B940" s="165" t="s">
        <v>163</v>
      </c>
      <c r="C940" s="168" t="s">
        <v>164</v>
      </c>
      <c r="D940" s="169"/>
      <c r="E940" s="171"/>
      <c r="F940" s="279"/>
      <c r="G940" s="275"/>
      <c r="H940" s="188"/>
      <c r="I940" s="188">
        <f>SUM(I938:I939)</f>
        <v>156488.16666666669</v>
      </c>
      <c r="J940" s="273"/>
    </row>
    <row r="941" spans="1:10" outlineLevel="1">
      <c r="B941" s="184"/>
      <c r="D941" s="186"/>
      <c r="E941" s="186"/>
      <c r="F941" s="280"/>
      <c r="G941" s="718"/>
      <c r="H941" s="281"/>
      <c r="I941" s="281"/>
      <c r="J941" s="273"/>
    </row>
    <row r="942" spans="1:10">
      <c r="A942" s="167" t="str">
        <f>B942</f>
        <v>A.4.5.2.41.</v>
      </c>
      <c r="B942" s="159" t="s">
        <v>194</v>
      </c>
      <c r="D942" s="159" t="s">
        <v>195</v>
      </c>
      <c r="H942" s="271"/>
      <c r="I942" s="272"/>
      <c r="J942" s="308">
        <f>I960</f>
        <v>134814.05597222221</v>
      </c>
    </row>
    <row r="943" spans="1:10" ht="31.2" outlineLevel="1">
      <c r="A943" s="163"/>
      <c r="B943" s="164" t="s">
        <v>75</v>
      </c>
      <c r="C943" s="1254" t="s">
        <v>140</v>
      </c>
      <c r="D943" s="1255"/>
      <c r="E943" s="164" t="s">
        <v>141</v>
      </c>
      <c r="F943" s="164" t="s">
        <v>142</v>
      </c>
      <c r="G943" s="164" t="s">
        <v>143</v>
      </c>
      <c r="H943" s="165" t="s">
        <v>144</v>
      </c>
      <c r="I943" s="165" t="s">
        <v>145</v>
      </c>
      <c r="J943" s="166"/>
    </row>
    <row r="944" spans="1:10" outlineLevel="1">
      <c r="B944" s="165" t="s">
        <v>146</v>
      </c>
      <c r="C944" s="168" t="s">
        <v>147</v>
      </c>
      <c r="D944" s="169"/>
      <c r="E944" s="170"/>
      <c r="F944" s="170"/>
      <c r="G944" s="170"/>
      <c r="H944" s="283"/>
      <c r="I944" s="283"/>
      <c r="J944" s="273"/>
    </row>
    <row r="945" spans="2:10" outlineLevel="1">
      <c r="B945" s="165"/>
      <c r="C945" s="168" t="s">
        <v>77</v>
      </c>
      <c r="D945" s="169"/>
      <c r="E945" s="165" t="s">
        <v>148</v>
      </c>
      <c r="F945" s="165" t="s">
        <v>76</v>
      </c>
      <c r="G945" s="173">
        <v>0.1</v>
      </c>
      <c r="H945" s="174">
        <f>VLOOKUP(C945,'UPAH-BAHAN'!D:F,2,0)</f>
        <v>120000</v>
      </c>
      <c r="I945" s="283">
        <f>G945*H945</f>
        <v>12000</v>
      </c>
      <c r="J945" s="273"/>
    </row>
    <row r="946" spans="2:10" outlineLevel="1">
      <c r="B946" s="165"/>
      <c r="C946" s="168" t="s">
        <v>78</v>
      </c>
      <c r="D946" s="169"/>
      <c r="E946" s="165" t="s">
        <v>150</v>
      </c>
      <c r="F946" s="165" t="s">
        <v>76</v>
      </c>
      <c r="G946" s="306">
        <v>0.05</v>
      </c>
      <c r="H946" s="174">
        <f>VLOOKUP(C946,'UPAH-BAHAN'!D:F,2,0)</f>
        <v>160000</v>
      </c>
      <c r="I946" s="283">
        <f>G946*H946</f>
        <v>8000</v>
      </c>
      <c r="J946" s="273"/>
    </row>
    <row r="947" spans="2:10" outlineLevel="1">
      <c r="B947" s="165"/>
      <c r="C947" s="168" t="s">
        <v>99</v>
      </c>
      <c r="D947" s="169"/>
      <c r="E947" s="165" t="s">
        <v>191</v>
      </c>
      <c r="F947" s="165" t="s">
        <v>76</v>
      </c>
      <c r="G947" s="165">
        <v>0.01</v>
      </c>
      <c r="H947" s="174">
        <f>VLOOKUP(C947,'UPAH-BAHAN'!D:F,2,0)</f>
        <v>170000</v>
      </c>
      <c r="I947" s="283">
        <f>G947*H947</f>
        <v>1700</v>
      </c>
      <c r="J947" s="273"/>
    </row>
    <row r="948" spans="2:10" outlineLevel="1">
      <c r="B948" s="165"/>
      <c r="C948" s="168" t="s">
        <v>80</v>
      </c>
      <c r="D948" s="169"/>
      <c r="E948" s="165" t="s">
        <v>192</v>
      </c>
      <c r="F948" s="165" t="s">
        <v>76</v>
      </c>
      <c r="G948" s="165">
        <v>5.0000000000000001E-3</v>
      </c>
      <c r="H948" s="174">
        <f>VLOOKUP(C948,'UPAH-BAHAN'!D:F,2,0)</f>
        <v>225000</v>
      </c>
      <c r="I948" s="283">
        <f>G948*H948</f>
        <v>1125</v>
      </c>
      <c r="J948" s="273"/>
    </row>
    <row r="949" spans="2:10" outlineLevel="1">
      <c r="B949" s="165"/>
      <c r="C949" s="168"/>
      <c r="D949" s="169"/>
      <c r="E949" s="170"/>
      <c r="F949" s="170"/>
      <c r="G949" s="340" t="s">
        <v>171</v>
      </c>
      <c r="H949" s="285"/>
      <c r="I949" s="283">
        <f>SUM(I945:I948)</f>
        <v>22825</v>
      </c>
      <c r="J949" s="273"/>
    </row>
    <row r="950" spans="2:10" outlineLevel="1">
      <c r="B950" s="165" t="s">
        <v>153</v>
      </c>
      <c r="C950" s="168" t="s">
        <v>154</v>
      </c>
      <c r="D950" s="169"/>
      <c r="E950" s="170"/>
      <c r="F950" s="170"/>
      <c r="G950" s="170"/>
      <c r="H950" s="283"/>
      <c r="I950" s="283"/>
      <c r="J950" s="273"/>
    </row>
    <row r="951" spans="2:10" outlineLevel="1">
      <c r="B951" s="165"/>
      <c r="C951" s="168" t="s">
        <v>196</v>
      </c>
      <c r="D951" s="169"/>
      <c r="E951" s="170"/>
      <c r="F951" s="165" t="s">
        <v>23</v>
      </c>
      <c r="G951" s="306">
        <v>1.2</v>
      </c>
      <c r="H951" s="174">
        <f>VLOOKUP(C951,'UPAH-BAHAN'!D:F,2,0)</f>
        <v>78000</v>
      </c>
      <c r="I951" s="283">
        <f>G951*H951</f>
        <v>93600</v>
      </c>
      <c r="J951" s="273"/>
    </row>
    <row r="952" spans="2:10" outlineLevel="1">
      <c r="B952" s="165"/>
      <c r="C952" s="168" t="s">
        <v>197</v>
      </c>
      <c r="D952" s="169"/>
      <c r="E952" s="170"/>
      <c r="F952" s="165" t="s">
        <v>69</v>
      </c>
      <c r="G952" s="165">
        <v>0.04</v>
      </c>
      <c r="H952" s="174">
        <f>VLOOKUP(C952,'UPAH-BAHAN'!D:F,2,0)</f>
        <v>20115.347222222223</v>
      </c>
      <c r="I952" s="283">
        <f>G952*H952</f>
        <v>804.61388888888894</v>
      </c>
      <c r="J952" s="273"/>
    </row>
    <row r="953" spans="2:10" outlineLevel="1">
      <c r="B953" s="165"/>
      <c r="C953" s="168"/>
      <c r="D953" s="169"/>
      <c r="E953" s="170"/>
      <c r="F953" s="170"/>
      <c r="G953" s="340" t="s">
        <v>172</v>
      </c>
      <c r="H953" s="285"/>
      <c r="I953" s="283">
        <f>SUM(I951:I952)</f>
        <v>94404.613888888882</v>
      </c>
      <c r="J953" s="273"/>
    </row>
    <row r="954" spans="2:10" outlineLevel="1">
      <c r="B954" s="165" t="s">
        <v>157</v>
      </c>
      <c r="C954" s="168" t="s">
        <v>158</v>
      </c>
      <c r="D954" s="169"/>
      <c r="E954" s="170"/>
      <c r="F954" s="170"/>
      <c r="G954" s="170"/>
      <c r="H954" s="283"/>
      <c r="I954" s="283"/>
      <c r="J954" s="273"/>
    </row>
    <row r="955" spans="2:10" outlineLevel="1">
      <c r="B955" s="165"/>
      <c r="C955" s="168"/>
      <c r="D955" s="169"/>
      <c r="E955" s="170"/>
      <c r="F955" s="170"/>
      <c r="G955" s="170"/>
      <c r="H955" s="283"/>
      <c r="I955" s="283"/>
      <c r="J955" s="273"/>
    </row>
    <row r="956" spans="2:10" outlineLevel="1">
      <c r="B956" s="165"/>
      <c r="C956" s="168"/>
      <c r="D956" s="169"/>
      <c r="E956" s="170"/>
      <c r="F956" s="170"/>
      <c r="G956" s="340" t="s">
        <v>179</v>
      </c>
      <c r="H956" s="285"/>
      <c r="I956" s="283">
        <f>I955</f>
        <v>0</v>
      </c>
      <c r="J956" s="273"/>
    </row>
    <row r="957" spans="2:10" outlineLevel="1">
      <c r="B957" s="165"/>
      <c r="C957" s="168"/>
      <c r="D957" s="169"/>
      <c r="E957" s="170"/>
      <c r="F957" s="170"/>
      <c r="G957" s="170"/>
      <c r="H957" s="283"/>
      <c r="I957" s="283"/>
      <c r="J957" s="273"/>
    </row>
    <row r="958" spans="2:10" outlineLevel="1">
      <c r="B958" s="165" t="s">
        <v>160</v>
      </c>
      <c r="C958" s="168" t="s">
        <v>161</v>
      </c>
      <c r="D958" s="169"/>
      <c r="E958" s="171"/>
      <c r="F958" s="171"/>
      <c r="G958" s="165"/>
      <c r="H958" s="283"/>
      <c r="I958" s="283">
        <f>I956+I953+I949</f>
        <v>117229.61388888888</v>
      </c>
      <c r="J958" s="273"/>
    </row>
    <row r="959" spans="2:10" outlineLevel="1">
      <c r="B959" s="165" t="s">
        <v>162</v>
      </c>
      <c r="C959" s="168" t="s">
        <v>82</v>
      </c>
      <c r="D959" s="169"/>
      <c r="E959" s="194"/>
      <c r="F959" s="179"/>
      <c r="G959" s="180">
        <f>$J$3</f>
        <v>0.15</v>
      </c>
      <c r="H959" s="171"/>
      <c r="I959" s="175">
        <f>I958*G959</f>
        <v>17584.442083333332</v>
      </c>
    </row>
    <row r="960" spans="2:10" outlineLevel="1">
      <c r="B960" s="165" t="s">
        <v>163</v>
      </c>
      <c r="C960" s="168" t="s">
        <v>164</v>
      </c>
      <c r="D960" s="169"/>
      <c r="E960" s="171"/>
      <c r="F960" s="171"/>
      <c r="G960" s="165"/>
      <c r="H960" s="283"/>
      <c r="I960" s="283">
        <f>SUM(I958:I959)</f>
        <v>134814.05597222221</v>
      </c>
      <c r="J960" s="273"/>
    </row>
    <row r="961" spans="1:13" outlineLevel="1">
      <c r="B961" s="184"/>
      <c r="D961" s="186"/>
      <c r="E961" s="186"/>
      <c r="F961" s="186"/>
      <c r="G961" s="184"/>
      <c r="H961" s="286"/>
      <c r="I961" s="286"/>
      <c r="J961" s="273"/>
    </row>
    <row r="962" spans="1:13">
      <c r="B962" s="184"/>
      <c r="D962" s="186"/>
      <c r="E962" s="186"/>
      <c r="F962" s="186"/>
      <c r="G962" s="184"/>
      <c r="H962" s="286"/>
      <c r="I962" s="286"/>
      <c r="J962" s="273"/>
    </row>
    <row r="963" spans="1:13" ht="20.399999999999999">
      <c r="A963" s="155"/>
      <c r="B963" s="571" t="s">
        <v>67</v>
      </c>
      <c r="C963" s="156"/>
      <c r="D963" s="156"/>
      <c r="E963" s="156"/>
      <c r="F963" s="156"/>
      <c r="G963" s="712"/>
      <c r="H963" s="157"/>
      <c r="I963" s="156"/>
      <c r="J963" s="158"/>
      <c r="M963" s="154">
        <f>4*0.2</f>
        <v>0.8</v>
      </c>
    </row>
    <row r="964" spans="1:13">
      <c r="A964" s="159" t="str">
        <f>B964</f>
        <v>Hit. PL. PVC</v>
      </c>
      <c r="B964" s="167" t="s">
        <v>278</v>
      </c>
      <c r="C964" s="159"/>
      <c r="D964" s="159" t="s">
        <v>519</v>
      </c>
      <c r="E964" s="159"/>
      <c r="F964" s="159"/>
      <c r="G964" s="163"/>
      <c r="H964" s="161"/>
      <c r="I964" s="160"/>
      <c r="J964" s="162">
        <f>I982</f>
        <v>153475</v>
      </c>
      <c r="K964" s="154" t="e">
        <f>VLOOKUP(A964,#REF!,1,0)</f>
        <v>#REF!</v>
      </c>
    </row>
    <row r="965" spans="1:13" ht="31.2" outlineLevel="1">
      <c r="A965" s="163"/>
      <c r="B965" s="164" t="s">
        <v>75</v>
      </c>
      <c r="C965" s="1254" t="s">
        <v>140</v>
      </c>
      <c r="D965" s="1255"/>
      <c r="E965" s="164" t="s">
        <v>141</v>
      </c>
      <c r="F965" s="164" t="s">
        <v>142</v>
      </c>
      <c r="G965" s="164" t="s">
        <v>143</v>
      </c>
      <c r="H965" s="165" t="s">
        <v>144</v>
      </c>
      <c r="I965" s="165" t="s">
        <v>145</v>
      </c>
      <c r="J965" s="166"/>
      <c r="K965" s="154" t="e">
        <f>VLOOKUP(A965,#REF!,1,0)</f>
        <v>#REF!</v>
      </c>
    </row>
    <row r="966" spans="1:13" outlineLevel="1">
      <c r="B966" s="165" t="s">
        <v>146</v>
      </c>
      <c r="C966" s="168" t="s">
        <v>147</v>
      </c>
      <c r="D966" s="169"/>
      <c r="E966" s="170"/>
      <c r="F966" s="170"/>
      <c r="G966" s="170"/>
      <c r="H966" s="171"/>
      <c r="I966" s="171"/>
      <c r="K966" s="154" t="e">
        <f>VLOOKUP(A966,#REF!,1,0)</f>
        <v>#REF!</v>
      </c>
      <c r="L966" s="756">
        <f>1/10</f>
        <v>0.1</v>
      </c>
    </row>
    <row r="967" spans="1:13" outlineLevel="1">
      <c r="B967" s="165"/>
      <c r="C967" s="168" t="s">
        <v>77</v>
      </c>
      <c r="D967" s="169"/>
      <c r="E967" s="165" t="s">
        <v>148</v>
      </c>
      <c r="F967" s="165" t="s">
        <v>76</v>
      </c>
      <c r="G967" s="173">
        <v>0.15</v>
      </c>
      <c r="H967" s="174">
        <f>VLOOKUP(C967,'UPAH-BAHAN'!D:F,2,0)</f>
        <v>120000</v>
      </c>
      <c r="I967" s="177">
        <f>G967*H967</f>
        <v>18000</v>
      </c>
      <c r="K967" s="154" t="e">
        <f>VLOOKUP(A967,#REF!,1,0)</f>
        <v>#REF!</v>
      </c>
      <c r="L967" s="756">
        <f>1/15</f>
        <v>6.6666666666666666E-2</v>
      </c>
    </row>
    <row r="968" spans="1:13" outlineLevel="1">
      <c r="B968" s="165"/>
      <c r="C968" s="168" t="s">
        <v>97</v>
      </c>
      <c r="D968" s="169"/>
      <c r="E968" s="165" t="s">
        <v>149</v>
      </c>
      <c r="F968" s="165" t="s">
        <v>76</v>
      </c>
      <c r="G968" s="173">
        <v>0.15</v>
      </c>
      <c r="H968" s="174">
        <f>VLOOKUP(C968,'UPAH-BAHAN'!D:F,2,0)</f>
        <v>160000</v>
      </c>
      <c r="I968" s="177">
        <f>G968*H968</f>
        <v>24000</v>
      </c>
      <c r="K968" s="154" t="e">
        <f>VLOOKUP(A968,#REF!,1,0)</f>
        <v>#REF!</v>
      </c>
      <c r="L968" s="756">
        <f>1/7</f>
        <v>0.14285714285714285</v>
      </c>
    </row>
    <row r="969" spans="1:13" outlineLevel="1">
      <c r="B969" s="165"/>
      <c r="C969" s="168" t="s">
        <v>99</v>
      </c>
      <c r="D969" s="169"/>
      <c r="E969" s="165" t="s">
        <v>150</v>
      </c>
      <c r="F969" s="165" t="s">
        <v>76</v>
      </c>
      <c r="G969" s="165">
        <v>5.0000000000000001E-3</v>
      </c>
      <c r="H969" s="174">
        <f>VLOOKUP(C969,'UPAH-BAHAN'!D:F,2,0)</f>
        <v>170000</v>
      </c>
      <c r="I969" s="177">
        <f>G969*H969</f>
        <v>850</v>
      </c>
      <c r="K969" s="154" t="e">
        <f>VLOOKUP(A969,#REF!,1,0)</f>
        <v>#REF!</v>
      </c>
    </row>
    <row r="970" spans="1:13" outlineLevel="1">
      <c r="B970" s="165"/>
      <c r="C970" s="168" t="s">
        <v>80</v>
      </c>
      <c r="D970" s="169"/>
      <c r="E970" s="165" t="s">
        <v>151</v>
      </c>
      <c r="F970" s="165" t="s">
        <v>76</v>
      </c>
      <c r="G970" s="165">
        <v>5.0000000000000001E-3</v>
      </c>
      <c r="H970" s="174">
        <f>VLOOKUP(C970,'UPAH-BAHAN'!D:F,2,0)</f>
        <v>225000</v>
      </c>
      <c r="I970" s="177">
        <f>G970*H970</f>
        <v>1125</v>
      </c>
      <c r="K970" s="154" t="e">
        <f>VLOOKUP(A970,#REF!,1,0)</f>
        <v>#REF!</v>
      </c>
    </row>
    <row r="971" spans="1:13" outlineLevel="1">
      <c r="B971" s="165"/>
      <c r="C971" s="168"/>
      <c r="D971" s="169"/>
      <c r="E971" s="170"/>
      <c r="F971" s="170"/>
      <c r="G971" s="340" t="s">
        <v>152</v>
      </c>
      <c r="H971" s="177"/>
      <c r="I971" s="177">
        <f>SUM(I967:I970)</f>
        <v>43975</v>
      </c>
      <c r="K971" s="154" t="e">
        <f>VLOOKUP(A971,#REF!,1,0)</f>
        <v>#REF!</v>
      </c>
    </row>
    <row r="972" spans="1:13" outlineLevel="1">
      <c r="B972" s="165" t="s">
        <v>153</v>
      </c>
      <c r="C972" s="168" t="s">
        <v>154</v>
      </c>
      <c r="D972" s="169"/>
      <c r="E972" s="170"/>
      <c r="F972" s="170"/>
      <c r="G972" s="170"/>
      <c r="H972" s="177"/>
      <c r="I972" s="177"/>
      <c r="K972" s="154" t="e">
        <f>VLOOKUP(A972,#REF!,1,0)</f>
        <v>#REF!</v>
      </c>
    </row>
    <row r="973" spans="1:13" outlineLevel="1">
      <c r="B973" s="165"/>
      <c r="C973" s="168" t="s">
        <v>279</v>
      </c>
      <c r="D973" s="169"/>
      <c r="E973" s="170"/>
      <c r="F973" s="165" t="s">
        <v>110</v>
      </c>
      <c r="G973" s="165">
        <v>1.3</v>
      </c>
      <c r="H973" s="174">
        <f>VLOOKUP(C973,'UPAH-BAHAN'!D:F,2,0)</f>
        <v>80000</v>
      </c>
      <c r="I973" s="177">
        <f>G973*H973</f>
        <v>104000</v>
      </c>
      <c r="K973" s="154" t="e">
        <f>VLOOKUP(A973,#REF!,1,0)</f>
        <v>#REF!</v>
      </c>
    </row>
    <row r="974" spans="1:13" outlineLevel="1">
      <c r="B974" s="165"/>
      <c r="C974" s="168" t="s">
        <v>117</v>
      </c>
      <c r="D974" s="169"/>
      <c r="E974" s="170"/>
      <c r="F974" s="165" t="s">
        <v>69</v>
      </c>
      <c r="G974" s="173">
        <v>0.11</v>
      </c>
      <c r="H974" s="174">
        <f>VLOOKUP(C974,'UPAH-BAHAN'!D:F,2,0)</f>
        <v>50000</v>
      </c>
      <c r="I974" s="177">
        <f>G974*H974</f>
        <v>5500</v>
      </c>
      <c r="K974" s="154" t="e">
        <f>VLOOKUP(A974,#REF!,1,0)</f>
        <v>#REF!</v>
      </c>
    </row>
    <row r="975" spans="1:13" outlineLevel="1">
      <c r="B975" s="165"/>
      <c r="C975" s="168"/>
      <c r="D975" s="169"/>
      <c r="E975" s="170"/>
      <c r="F975" s="170"/>
      <c r="G975" s="340" t="s">
        <v>156</v>
      </c>
      <c r="H975" s="177"/>
      <c r="I975" s="177">
        <f>SUM(I973:I974)</f>
        <v>109500</v>
      </c>
      <c r="K975" s="154" t="e">
        <f>VLOOKUP(A975,#REF!,1,0)</f>
        <v>#REF!</v>
      </c>
    </row>
    <row r="976" spans="1:13" outlineLevel="1">
      <c r="B976" s="165" t="s">
        <v>157</v>
      </c>
      <c r="C976" s="168" t="s">
        <v>158</v>
      </c>
      <c r="D976" s="169"/>
      <c r="E976" s="170"/>
      <c r="F976" s="170"/>
      <c r="G976" s="170"/>
      <c r="H976" s="177"/>
      <c r="I976" s="177"/>
      <c r="K976" s="154" t="e">
        <f>VLOOKUP(A976,#REF!,1,0)</f>
        <v>#REF!</v>
      </c>
    </row>
    <row r="977" spans="1:14" outlineLevel="1">
      <c r="B977" s="165"/>
      <c r="C977" s="168"/>
      <c r="D977" s="169"/>
      <c r="E977" s="170"/>
      <c r="F977" s="170"/>
      <c r="G977" s="170"/>
      <c r="H977" s="177"/>
      <c r="I977" s="177"/>
      <c r="K977" s="154" t="e">
        <f>VLOOKUP(A977,#REF!,1,0)</f>
        <v>#REF!</v>
      </c>
    </row>
    <row r="978" spans="1:14" outlineLevel="1">
      <c r="B978" s="165"/>
      <c r="C978" s="168"/>
      <c r="D978" s="169"/>
      <c r="E978" s="170"/>
      <c r="F978" s="170"/>
      <c r="G978" s="340" t="s">
        <v>159</v>
      </c>
      <c r="H978" s="177"/>
      <c r="I978" s="177"/>
      <c r="K978" s="154" t="e">
        <f>VLOOKUP(A978,#REF!,1,0)</f>
        <v>#REF!</v>
      </c>
    </row>
    <row r="979" spans="1:14" outlineLevel="1">
      <c r="B979" s="165"/>
      <c r="C979" s="168"/>
      <c r="D979" s="169"/>
      <c r="E979" s="170"/>
      <c r="F979" s="170"/>
      <c r="G979" s="170"/>
      <c r="H979" s="177"/>
      <c r="I979" s="177">
        <f>SUM(I978)</f>
        <v>0</v>
      </c>
      <c r="K979" s="154" t="e">
        <f>VLOOKUP(A979,#REF!,1,0)</f>
        <v>#REF!</v>
      </c>
    </row>
    <row r="980" spans="1:14" outlineLevel="1">
      <c r="B980" s="165" t="s">
        <v>160</v>
      </c>
      <c r="C980" s="168" t="s">
        <v>161</v>
      </c>
      <c r="D980" s="169"/>
      <c r="E980" s="171"/>
      <c r="F980" s="171"/>
      <c r="G980" s="165"/>
      <c r="H980" s="177"/>
      <c r="I980" s="177">
        <f>I971+I975+I979</f>
        <v>153475</v>
      </c>
      <c r="K980" s="154" t="e">
        <f>VLOOKUP(A980,#REF!,1,0)</f>
        <v>#REF!</v>
      </c>
    </row>
    <row r="981" spans="1:14" outlineLevel="1">
      <c r="B981" s="165" t="s">
        <v>162</v>
      </c>
      <c r="C981" s="168" t="s">
        <v>82</v>
      </c>
      <c r="D981" s="169"/>
      <c r="E981" s="194"/>
      <c r="F981" s="179"/>
      <c r="G981" s="180">
        <f>$J$1</f>
        <v>0</v>
      </c>
      <c r="H981" s="171"/>
      <c r="I981" s="175">
        <f>I980*G981</f>
        <v>0</v>
      </c>
      <c r="K981" s="154" t="e">
        <f>VLOOKUP(A981,#REF!,1,0)</f>
        <v>#REF!</v>
      </c>
      <c r="M981" s="154">
        <f>0.2*4</f>
        <v>0.8</v>
      </c>
      <c r="N981" s="154">
        <v>35000</v>
      </c>
    </row>
    <row r="982" spans="1:14" outlineLevel="1">
      <c r="B982" s="165" t="s">
        <v>163</v>
      </c>
      <c r="C982" s="168" t="s">
        <v>164</v>
      </c>
      <c r="D982" s="169"/>
      <c r="E982" s="171"/>
      <c r="F982" s="171"/>
      <c r="G982" s="165"/>
      <c r="H982" s="177"/>
      <c r="I982" s="177">
        <f>I980+I981</f>
        <v>153475</v>
      </c>
      <c r="K982" s="154" t="e">
        <f>VLOOKUP(A982,#REF!,1,0)</f>
        <v>#REF!</v>
      </c>
    </row>
    <row r="983" spans="1:14" outlineLevel="1">
      <c r="B983" s="184"/>
      <c r="D983" s="186"/>
      <c r="E983" s="186"/>
      <c r="F983" s="186"/>
      <c r="G983" s="184"/>
      <c r="H983" s="307"/>
      <c r="I983" s="307"/>
      <c r="K983" s="154" t="e">
        <f>VLOOKUP(A983,#REF!,1,0)</f>
        <v>#REF!</v>
      </c>
    </row>
    <row r="984" spans="1:14">
      <c r="A984" s="159" t="str">
        <f>B984</f>
        <v>Hit.  Lis. PVC</v>
      </c>
      <c r="B984" s="167" t="s">
        <v>280</v>
      </c>
      <c r="C984" s="159"/>
      <c r="D984" s="159" t="s">
        <v>606</v>
      </c>
      <c r="E984" s="159"/>
      <c r="F984" s="159"/>
      <c r="G984" s="163"/>
      <c r="H984" s="161"/>
      <c r="I984" s="160"/>
      <c r="J984" s="162">
        <f>I1002</f>
        <v>44020.75</v>
      </c>
      <c r="K984" s="154" t="e">
        <f>VLOOKUP(A984,#REF!,1,0)</f>
        <v>#REF!</v>
      </c>
    </row>
    <row r="985" spans="1:14" ht="31.2" outlineLevel="1">
      <c r="A985" s="163"/>
      <c r="B985" s="164" t="s">
        <v>75</v>
      </c>
      <c r="C985" s="1254" t="s">
        <v>140</v>
      </c>
      <c r="D985" s="1255"/>
      <c r="E985" s="164" t="s">
        <v>141</v>
      </c>
      <c r="F985" s="164" t="s">
        <v>142</v>
      </c>
      <c r="G985" s="164" t="s">
        <v>143</v>
      </c>
      <c r="H985" s="165" t="s">
        <v>144</v>
      </c>
      <c r="I985" s="165" t="s">
        <v>145</v>
      </c>
      <c r="J985" s="166"/>
      <c r="K985" s="154" t="e">
        <f>VLOOKUP(A985,#REF!,1,0)</f>
        <v>#REF!</v>
      </c>
    </row>
    <row r="986" spans="1:14" outlineLevel="1">
      <c r="B986" s="165" t="s">
        <v>146</v>
      </c>
      <c r="C986" s="168" t="s">
        <v>147</v>
      </c>
      <c r="D986" s="169"/>
      <c r="E986" s="170"/>
      <c r="F986" s="170"/>
      <c r="G986" s="170"/>
      <c r="H986" s="171"/>
      <c r="I986" s="171"/>
      <c r="K986" s="154" t="e">
        <f>VLOOKUP(A986,#REF!,1,0)</f>
        <v>#REF!</v>
      </c>
    </row>
    <row r="987" spans="1:14" outlineLevel="1">
      <c r="B987" s="165"/>
      <c r="C987" s="168" t="s">
        <v>77</v>
      </c>
      <c r="D987" s="169"/>
      <c r="E987" s="165" t="s">
        <v>148</v>
      </c>
      <c r="F987" s="165" t="s">
        <v>76</v>
      </c>
      <c r="G987" s="173">
        <v>0.05</v>
      </c>
      <c r="H987" s="174">
        <f>VLOOKUP(C987,'UPAH-BAHAN'!D:F,2,0)</f>
        <v>120000</v>
      </c>
      <c r="I987" s="177">
        <f>G987*H987</f>
        <v>6000</v>
      </c>
      <c r="K987" s="154" t="e">
        <f>VLOOKUP(A987,#REF!,1,0)</f>
        <v>#REF!</v>
      </c>
    </row>
    <row r="988" spans="1:14" outlineLevel="1">
      <c r="B988" s="165"/>
      <c r="C988" s="168" t="s">
        <v>97</v>
      </c>
      <c r="D988" s="169"/>
      <c r="E988" s="165" t="s">
        <v>149</v>
      </c>
      <c r="F988" s="165" t="s">
        <v>76</v>
      </c>
      <c r="G988" s="173">
        <v>0.05</v>
      </c>
      <c r="H988" s="174">
        <f>VLOOKUP(C988,'UPAH-BAHAN'!D:F,2,0)</f>
        <v>160000</v>
      </c>
      <c r="I988" s="177">
        <f>G988*H988</f>
        <v>8000</v>
      </c>
      <c r="K988" s="154" t="e">
        <f>VLOOKUP(A988,#REF!,1,0)</f>
        <v>#REF!</v>
      </c>
    </row>
    <row r="989" spans="1:14" outlineLevel="1">
      <c r="B989" s="165"/>
      <c r="C989" s="168" t="s">
        <v>99</v>
      </c>
      <c r="D989" s="169"/>
      <c r="E989" s="165" t="s">
        <v>150</v>
      </c>
      <c r="F989" s="165" t="s">
        <v>76</v>
      </c>
      <c r="G989" s="165">
        <v>5.0000000000000001E-3</v>
      </c>
      <c r="H989" s="174">
        <f>VLOOKUP(C989,'UPAH-BAHAN'!D:F,2,0)</f>
        <v>170000</v>
      </c>
      <c r="I989" s="177">
        <f>G989*H989</f>
        <v>850</v>
      </c>
      <c r="K989" s="154" t="e">
        <f>VLOOKUP(A989,#REF!,1,0)</f>
        <v>#REF!</v>
      </c>
    </row>
    <row r="990" spans="1:14" outlineLevel="1">
      <c r="B990" s="165"/>
      <c r="C990" s="168" t="s">
        <v>80</v>
      </c>
      <c r="D990" s="169"/>
      <c r="E990" s="165" t="s">
        <v>151</v>
      </c>
      <c r="F990" s="165" t="s">
        <v>76</v>
      </c>
      <c r="G990" s="165">
        <v>3.0000000000000001E-3</v>
      </c>
      <c r="H990" s="174">
        <f>VLOOKUP(C990,'UPAH-BAHAN'!D:F,2,0)</f>
        <v>225000</v>
      </c>
      <c r="I990" s="177">
        <f>G990*H990</f>
        <v>675</v>
      </c>
      <c r="K990" s="154" t="e">
        <f>VLOOKUP(A990,#REF!,1,0)</f>
        <v>#REF!</v>
      </c>
    </row>
    <row r="991" spans="1:14" outlineLevel="1">
      <c r="B991" s="165"/>
      <c r="C991" s="168"/>
      <c r="D991" s="169"/>
      <c r="E991" s="170"/>
      <c r="F991" s="170"/>
      <c r="G991" s="340" t="s">
        <v>152</v>
      </c>
      <c r="H991" s="177"/>
      <c r="I991" s="177">
        <f>SUM(I987:I990)</f>
        <v>15525</v>
      </c>
      <c r="K991" s="154" t="e">
        <f>VLOOKUP(A991,#REF!,1,0)</f>
        <v>#REF!</v>
      </c>
    </row>
    <row r="992" spans="1:14" outlineLevel="1">
      <c r="B992" s="165" t="s">
        <v>153</v>
      </c>
      <c r="C992" s="168" t="s">
        <v>154</v>
      </c>
      <c r="D992" s="169"/>
      <c r="E992" s="170"/>
      <c r="F992" s="170"/>
      <c r="G992" s="170"/>
      <c r="H992" s="177"/>
      <c r="I992" s="177"/>
      <c r="K992" s="154" t="e">
        <f>VLOOKUP(A992,#REF!,1,0)</f>
        <v>#REF!</v>
      </c>
    </row>
    <row r="993" spans="1:11" outlineLevel="1">
      <c r="B993" s="165"/>
      <c r="C993" s="168" t="s">
        <v>281</v>
      </c>
      <c r="D993" s="169"/>
      <c r="E993" s="170"/>
      <c r="F993" s="165" t="s">
        <v>21</v>
      </c>
      <c r="G993" s="165">
        <v>1.05</v>
      </c>
      <c r="H993" s="174">
        <f>VLOOKUP(C993,'UPAH-BAHAN'!D:F,2,0)</f>
        <v>25000</v>
      </c>
      <c r="I993" s="177">
        <f>G993*H993</f>
        <v>26250</v>
      </c>
      <c r="K993" s="154" t="e">
        <f>VLOOKUP(A993,#REF!,1,0)</f>
        <v>#REF!</v>
      </c>
    </row>
    <row r="994" spans="1:11" outlineLevel="1">
      <c r="B994" s="165"/>
      <c r="C994" s="168" t="s">
        <v>282</v>
      </c>
      <c r="D994" s="169"/>
      <c r="E994" s="170"/>
      <c r="F994" s="165" t="s">
        <v>345</v>
      </c>
      <c r="G994" s="173">
        <v>3.4549999999999997E-2</v>
      </c>
      <c r="H994" s="174">
        <f>VLOOKUP(C994,'UPAH-BAHAN'!D:F,2,0)</f>
        <v>65000</v>
      </c>
      <c r="I994" s="177">
        <f>G994*H994</f>
        <v>2245.75</v>
      </c>
      <c r="K994" s="154" t="e">
        <f>VLOOKUP(A994,#REF!,1,0)</f>
        <v>#REF!</v>
      </c>
    </row>
    <row r="995" spans="1:11" outlineLevel="1">
      <c r="B995" s="165"/>
      <c r="C995" s="168"/>
      <c r="D995" s="169"/>
      <c r="E995" s="170"/>
      <c r="F995" s="170"/>
      <c r="G995" s="340" t="s">
        <v>156</v>
      </c>
      <c r="H995" s="177"/>
      <c r="I995" s="177">
        <f>SUM(I993:I994)</f>
        <v>28495.75</v>
      </c>
      <c r="K995" s="154" t="e">
        <f>VLOOKUP(A995,#REF!,1,0)</f>
        <v>#REF!</v>
      </c>
    </row>
    <row r="996" spans="1:11" outlineLevel="1">
      <c r="B996" s="165" t="s">
        <v>157</v>
      </c>
      <c r="C996" s="168" t="s">
        <v>158</v>
      </c>
      <c r="D996" s="169"/>
      <c r="E996" s="170"/>
      <c r="F996" s="170"/>
      <c r="G996" s="170"/>
      <c r="H996" s="177"/>
      <c r="I996" s="177"/>
      <c r="K996" s="154" t="e">
        <f>VLOOKUP(A996,#REF!,1,0)</f>
        <v>#REF!</v>
      </c>
    </row>
    <row r="997" spans="1:11" outlineLevel="1">
      <c r="B997" s="165"/>
      <c r="C997" s="168"/>
      <c r="D997" s="169"/>
      <c r="E997" s="170"/>
      <c r="F997" s="170"/>
      <c r="G997" s="170"/>
      <c r="H997" s="177"/>
      <c r="I997" s="177"/>
      <c r="K997" s="154" t="e">
        <f>VLOOKUP(A997,#REF!,1,0)</f>
        <v>#REF!</v>
      </c>
    </row>
    <row r="998" spans="1:11" outlineLevel="1">
      <c r="B998" s="165"/>
      <c r="C998" s="168"/>
      <c r="D998" s="169"/>
      <c r="E998" s="170"/>
      <c r="F998" s="170"/>
      <c r="G998" s="340" t="s">
        <v>159</v>
      </c>
      <c r="H998" s="177"/>
      <c r="I998" s="177"/>
      <c r="K998" s="154" t="e">
        <f>VLOOKUP(A998,#REF!,1,0)</f>
        <v>#REF!</v>
      </c>
    </row>
    <row r="999" spans="1:11" outlineLevel="1">
      <c r="B999" s="165"/>
      <c r="C999" s="168"/>
      <c r="D999" s="169"/>
      <c r="E999" s="170"/>
      <c r="F999" s="170"/>
      <c r="G999" s="170"/>
      <c r="H999" s="177"/>
      <c r="I999" s="177">
        <f>SUM(I998)</f>
        <v>0</v>
      </c>
      <c r="K999" s="154" t="e">
        <f>VLOOKUP(A999,#REF!,1,0)</f>
        <v>#REF!</v>
      </c>
    </row>
    <row r="1000" spans="1:11" outlineLevel="1">
      <c r="B1000" s="165" t="s">
        <v>160</v>
      </c>
      <c r="C1000" s="168" t="s">
        <v>161</v>
      </c>
      <c r="D1000" s="169"/>
      <c r="E1000" s="171"/>
      <c r="F1000" s="171"/>
      <c r="G1000" s="165"/>
      <c r="H1000" s="177"/>
      <c r="I1000" s="177">
        <f>I991+I995+I999</f>
        <v>44020.75</v>
      </c>
      <c r="K1000" s="154" t="e">
        <f>VLOOKUP(A1000,#REF!,1,0)</f>
        <v>#REF!</v>
      </c>
    </row>
    <row r="1001" spans="1:11" outlineLevel="1">
      <c r="B1001" s="165" t="s">
        <v>162</v>
      </c>
      <c r="C1001" s="168" t="s">
        <v>82</v>
      </c>
      <c r="D1001" s="169"/>
      <c r="E1001" s="194"/>
      <c r="F1001" s="179"/>
      <c r="G1001" s="180">
        <f>$J$1</f>
        <v>0</v>
      </c>
      <c r="H1001" s="171"/>
      <c r="I1001" s="175">
        <f>I1000*G1001</f>
        <v>0</v>
      </c>
      <c r="K1001" s="154" t="e">
        <f>VLOOKUP(A1001,#REF!,1,0)</f>
        <v>#REF!</v>
      </c>
    </row>
    <row r="1002" spans="1:11" outlineLevel="1">
      <c r="B1002" s="165" t="s">
        <v>163</v>
      </c>
      <c r="C1002" s="168" t="s">
        <v>164</v>
      </c>
      <c r="D1002" s="169"/>
      <c r="E1002" s="171"/>
      <c r="F1002" s="171"/>
      <c r="G1002" s="165"/>
      <c r="H1002" s="177"/>
      <c r="I1002" s="177">
        <f>I1000+I1001</f>
        <v>44020.75</v>
      </c>
      <c r="K1002" s="154" t="e">
        <f>VLOOKUP(A1002,#REF!,1,0)</f>
        <v>#REF!</v>
      </c>
    </row>
    <row r="1003" spans="1:11" outlineLevel="1">
      <c r="B1003" s="184"/>
      <c r="D1003" s="186"/>
      <c r="E1003" s="186"/>
      <c r="F1003" s="186"/>
      <c r="G1003" s="184"/>
      <c r="H1003" s="307"/>
      <c r="I1003" s="307"/>
    </row>
    <row r="1004" spans="1:11">
      <c r="A1004" s="159" t="str">
        <f>B1004</f>
        <v>A.4.5.1.7.</v>
      </c>
      <c r="B1004" s="167" t="s">
        <v>115</v>
      </c>
      <c r="C1004" s="159"/>
      <c r="D1004" s="159" t="s">
        <v>116</v>
      </c>
      <c r="E1004" s="159"/>
      <c r="F1004" s="159"/>
      <c r="G1004" s="163"/>
      <c r="H1004" s="161"/>
      <c r="I1004" s="160"/>
      <c r="J1004" s="162">
        <f>I1022</f>
        <v>65084.25</v>
      </c>
    </row>
    <row r="1005" spans="1:11" ht="31.2" outlineLevel="1">
      <c r="A1005" s="163"/>
      <c r="B1005" s="164" t="s">
        <v>75</v>
      </c>
      <c r="C1005" s="1254" t="s">
        <v>140</v>
      </c>
      <c r="D1005" s="1255"/>
      <c r="E1005" s="164" t="s">
        <v>141</v>
      </c>
      <c r="F1005" s="164" t="s">
        <v>142</v>
      </c>
      <c r="G1005" s="164" t="s">
        <v>143</v>
      </c>
      <c r="H1005" s="165" t="s">
        <v>144</v>
      </c>
      <c r="I1005" s="165" t="s">
        <v>145</v>
      </c>
      <c r="J1005" s="166"/>
    </row>
    <row r="1006" spans="1:11" outlineLevel="1">
      <c r="B1006" s="165" t="s">
        <v>146</v>
      </c>
      <c r="C1006" s="168" t="s">
        <v>147</v>
      </c>
      <c r="D1006" s="169"/>
      <c r="E1006" s="170"/>
      <c r="F1006" s="170"/>
      <c r="G1006" s="170"/>
      <c r="H1006" s="171"/>
      <c r="I1006" s="171"/>
    </row>
    <row r="1007" spans="1:11" outlineLevel="1">
      <c r="B1007" s="165"/>
      <c r="C1007" s="168" t="s">
        <v>77</v>
      </c>
      <c r="D1007" s="169"/>
      <c r="E1007" s="165" t="s">
        <v>148</v>
      </c>
      <c r="F1007" s="165" t="s">
        <v>76</v>
      </c>
      <c r="G1007" s="173">
        <v>0.1</v>
      </c>
      <c r="H1007" s="174">
        <f>VLOOKUP(C1007,'UPAH-BAHAN'!D:F,2,0)</f>
        <v>120000</v>
      </c>
      <c r="I1007" s="177">
        <f>G1007*H1007</f>
        <v>12000</v>
      </c>
    </row>
    <row r="1008" spans="1:11" outlineLevel="1">
      <c r="B1008" s="165"/>
      <c r="C1008" s="168" t="s">
        <v>97</v>
      </c>
      <c r="D1008" s="169"/>
      <c r="E1008" s="165" t="s">
        <v>149</v>
      </c>
      <c r="F1008" s="165" t="s">
        <v>76</v>
      </c>
      <c r="G1008" s="173">
        <v>0.05</v>
      </c>
      <c r="H1008" s="174">
        <f>VLOOKUP(C1008,'UPAH-BAHAN'!D:F,2,0)</f>
        <v>160000</v>
      </c>
      <c r="I1008" s="177">
        <f>G1008*H1008</f>
        <v>8000</v>
      </c>
    </row>
    <row r="1009" spans="1:10" outlineLevel="1">
      <c r="B1009" s="165"/>
      <c r="C1009" s="168" t="s">
        <v>99</v>
      </c>
      <c r="D1009" s="169"/>
      <c r="E1009" s="165" t="s">
        <v>150</v>
      </c>
      <c r="F1009" s="165" t="s">
        <v>76</v>
      </c>
      <c r="G1009" s="165">
        <v>5.0000000000000001E-3</v>
      </c>
      <c r="H1009" s="174">
        <f>VLOOKUP(C1009,'UPAH-BAHAN'!D:F,2,0)</f>
        <v>170000</v>
      </c>
      <c r="I1009" s="177">
        <f>G1009*H1009</f>
        <v>850</v>
      </c>
    </row>
    <row r="1010" spans="1:10" outlineLevel="1">
      <c r="B1010" s="165"/>
      <c r="C1010" s="168" t="s">
        <v>80</v>
      </c>
      <c r="D1010" s="169"/>
      <c r="E1010" s="165" t="s">
        <v>151</v>
      </c>
      <c r="F1010" s="165" t="s">
        <v>76</v>
      </c>
      <c r="G1010" s="165">
        <v>5.0000000000000001E-3</v>
      </c>
      <c r="H1010" s="174">
        <f>VLOOKUP(C1010,'UPAH-BAHAN'!D:F,2,0)</f>
        <v>225000</v>
      </c>
      <c r="I1010" s="177">
        <f>G1010*H1010</f>
        <v>1125</v>
      </c>
    </row>
    <row r="1011" spans="1:10" outlineLevel="1">
      <c r="B1011" s="165"/>
      <c r="C1011" s="168"/>
      <c r="D1011" s="169"/>
      <c r="E1011" s="170"/>
      <c r="F1011" s="170"/>
      <c r="G1011" s="340" t="s">
        <v>152</v>
      </c>
      <c r="H1011" s="177"/>
      <c r="I1011" s="177">
        <f>SUM(I1007:I1010)</f>
        <v>21975</v>
      </c>
    </row>
    <row r="1012" spans="1:10" outlineLevel="1">
      <c r="B1012" s="165" t="s">
        <v>153</v>
      </c>
      <c r="C1012" s="168" t="s">
        <v>154</v>
      </c>
      <c r="D1012" s="169"/>
      <c r="E1012" s="170"/>
      <c r="F1012" s="170"/>
      <c r="G1012" s="170"/>
      <c r="H1012" s="177"/>
      <c r="I1012" s="177"/>
    </row>
    <row r="1013" spans="1:10" outlineLevel="1">
      <c r="B1013" s="165"/>
      <c r="C1013" s="168" t="s">
        <v>208</v>
      </c>
      <c r="D1013" s="169"/>
      <c r="E1013" s="170"/>
      <c r="F1013" s="165" t="s">
        <v>198</v>
      </c>
      <c r="G1013" s="165">
        <v>0.36399999999999999</v>
      </c>
      <c r="H1013" s="174">
        <f>VLOOKUP(C1013,'UPAH-BAHAN'!D:F,2,0)</f>
        <v>80000</v>
      </c>
      <c r="I1013" s="177">
        <f>G1013*H1013</f>
        <v>29120</v>
      </c>
    </row>
    <row r="1014" spans="1:10" outlineLevel="1">
      <c r="B1014" s="165"/>
      <c r="C1014" s="168" t="s">
        <v>117</v>
      </c>
      <c r="D1014" s="169"/>
      <c r="E1014" s="170"/>
      <c r="F1014" s="165" t="s">
        <v>199</v>
      </c>
      <c r="G1014" s="173">
        <v>0.11</v>
      </c>
      <c r="H1014" s="174">
        <f>VLOOKUP(C1014,'UPAH-BAHAN'!D:F,2,0)</f>
        <v>50000</v>
      </c>
      <c r="I1014" s="177">
        <f>G1014*H1014</f>
        <v>5500</v>
      </c>
    </row>
    <row r="1015" spans="1:10" outlineLevel="1">
      <c r="B1015" s="165"/>
      <c r="C1015" s="168"/>
      <c r="D1015" s="169"/>
      <c r="E1015" s="170"/>
      <c r="F1015" s="170"/>
      <c r="G1015" s="340" t="s">
        <v>156</v>
      </c>
      <c r="H1015" s="177"/>
      <c r="I1015" s="177">
        <f>SUM(I1013:I1014)</f>
        <v>34620</v>
      </c>
    </row>
    <row r="1016" spans="1:10" outlineLevel="1">
      <c r="B1016" s="165" t="s">
        <v>157</v>
      </c>
      <c r="C1016" s="168" t="s">
        <v>158</v>
      </c>
      <c r="D1016" s="169"/>
      <c r="E1016" s="170"/>
      <c r="F1016" s="170"/>
      <c r="G1016" s="170"/>
      <c r="H1016" s="177"/>
      <c r="I1016" s="177"/>
    </row>
    <row r="1017" spans="1:10" outlineLevel="1">
      <c r="B1017" s="165"/>
      <c r="C1017" s="168"/>
      <c r="D1017" s="169"/>
      <c r="E1017" s="170"/>
      <c r="F1017" s="170"/>
      <c r="G1017" s="170"/>
      <c r="H1017" s="177"/>
      <c r="I1017" s="177"/>
    </row>
    <row r="1018" spans="1:10" outlineLevel="1">
      <c r="B1018" s="165"/>
      <c r="C1018" s="168"/>
      <c r="D1018" s="169"/>
      <c r="E1018" s="170"/>
      <c r="F1018" s="170"/>
      <c r="G1018" s="340" t="s">
        <v>159</v>
      </c>
      <c r="H1018" s="177"/>
      <c r="I1018" s="177"/>
    </row>
    <row r="1019" spans="1:10" outlineLevel="1">
      <c r="B1019" s="165"/>
      <c r="C1019" s="168"/>
      <c r="D1019" s="169"/>
      <c r="E1019" s="170"/>
      <c r="F1019" s="170"/>
      <c r="G1019" s="170"/>
      <c r="H1019" s="177"/>
      <c r="I1019" s="177">
        <f>SUM(I1018)</f>
        <v>0</v>
      </c>
    </row>
    <row r="1020" spans="1:10" outlineLevel="1">
      <c r="B1020" s="165" t="s">
        <v>160</v>
      </c>
      <c r="C1020" s="168" t="s">
        <v>161</v>
      </c>
      <c r="D1020" s="169"/>
      <c r="E1020" s="171"/>
      <c r="F1020" s="171"/>
      <c r="G1020" s="165"/>
      <c r="H1020" s="177"/>
      <c r="I1020" s="177">
        <f>I1011+I1015+I1019</f>
        <v>56595</v>
      </c>
    </row>
    <row r="1021" spans="1:10" outlineLevel="1">
      <c r="B1021" s="165" t="s">
        <v>162</v>
      </c>
      <c r="C1021" s="168" t="s">
        <v>82</v>
      </c>
      <c r="D1021" s="169"/>
      <c r="E1021" s="194"/>
      <c r="F1021" s="179"/>
      <c r="G1021" s="180">
        <f>$J$3</f>
        <v>0.15</v>
      </c>
      <c r="H1021" s="171"/>
      <c r="I1021" s="175">
        <f>I1020*G1021</f>
        <v>8489.25</v>
      </c>
    </row>
    <row r="1022" spans="1:10" outlineLevel="1">
      <c r="B1022" s="165" t="s">
        <v>163</v>
      </c>
      <c r="C1022" s="168" t="s">
        <v>164</v>
      </c>
      <c r="D1022" s="169"/>
      <c r="E1022" s="171"/>
      <c r="F1022" s="171"/>
      <c r="G1022" s="165"/>
      <c r="H1022" s="177"/>
      <c r="I1022" s="177">
        <f>I1020+I1021</f>
        <v>65084.25</v>
      </c>
    </row>
    <row r="1023" spans="1:10" outlineLevel="1">
      <c r="B1023" s="184"/>
      <c r="D1023" s="186"/>
      <c r="E1023" s="186"/>
      <c r="F1023" s="186"/>
      <c r="G1023" s="184"/>
      <c r="H1023" s="307"/>
      <c r="I1023" s="307"/>
    </row>
    <row r="1024" spans="1:10">
      <c r="A1024" s="159" t="str">
        <f>B1024</f>
        <v>A.4.5.1.7.A</v>
      </c>
      <c r="B1024" s="167" t="s">
        <v>118</v>
      </c>
      <c r="C1024" s="159"/>
      <c r="D1024" s="159" t="s">
        <v>119</v>
      </c>
      <c r="E1024" s="159"/>
      <c r="F1024" s="159"/>
      <c r="G1024" s="163"/>
      <c r="H1024" s="161"/>
      <c r="I1024" s="160"/>
      <c r="J1024" s="162">
        <f>I1042</f>
        <v>38507.75</v>
      </c>
    </row>
    <row r="1025" spans="1:10" ht="31.2" outlineLevel="1">
      <c r="A1025" s="163"/>
      <c r="B1025" s="164" t="s">
        <v>75</v>
      </c>
      <c r="C1025" s="1254" t="s">
        <v>140</v>
      </c>
      <c r="D1025" s="1255"/>
      <c r="E1025" s="164" t="s">
        <v>141</v>
      </c>
      <c r="F1025" s="164" t="s">
        <v>142</v>
      </c>
      <c r="G1025" s="164" t="s">
        <v>143</v>
      </c>
      <c r="H1025" s="165" t="s">
        <v>144</v>
      </c>
      <c r="I1025" s="165" t="s">
        <v>145</v>
      </c>
      <c r="J1025" s="166"/>
    </row>
    <row r="1026" spans="1:10" outlineLevel="1">
      <c r="B1026" s="165" t="s">
        <v>146</v>
      </c>
      <c r="C1026" s="168" t="s">
        <v>147</v>
      </c>
      <c r="D1026" s="169"/>
      <c r="E1026" s="170"/>
      <c r="F1026" s="170"/>
      <c r="G1026" s="170"/>
      <c r="H1026" s="171"/>
      <c r="I1026" s="171"/>
    </row>
    <row r="1027" spans="1:10" outlineLevel="1">
      <c r="B1027" s="165"/>
      <c r="C1027" s="168" t="s">
        <v>77</v>
      </c>
      <c r="D1027" s="169"/>
      <c r="E1027" s="165" t="s">
        <v>148</v>
      </c>
      <c r="F1027" s="165" t="s">
        <v>76</v>
      </c>
      <c r="G1027" s="173">
        <v>0.1</v>
      </c>
      <c r="H1027" s="174">
        <f>VLOOKUP(C1027,'UPAH-BAHAN'!D:F,2,0)</f>
        <v>120000</v>
      </c>
      <c r="I1027" s="177">
        <f>G1027*H1027</f>
        <v>12000</v>
      </c>
    </row>
    <row r="1028" spans="1:10" outlineLevel="1">
      <c r="B1028" s="165"/>
      <c r="C1028" s="168" t="s">
        <v>97</v>
      </c>
      <c r="D1028" s="169"/>
      <c r="E1028" s="165" t="s">
        <v>149</v>
      </c>
      <c r="F1028" s="165" t="s">
        <v>76</v>
      </c>
      <c r="G1028" s="173">
        <v>0.05</v>
      </c>
      <c r="H1028" s="174">
        <f>VLOOKUP(C1028,'UPAH-BAHAN'!D:F,2,0)</f>
        <v>160000</v>
      </c>
      <c r="I1028" s="177">
        <f>G1028*H1028</f>
        <v>8000</v>
      </c>
    </row>
    <row r="1029" spans="1:10" outlineLevel="1">
      <c r="B1029" s="165"/>
      <c r="C1029" s="168" t="s">
        <v>99</v>
      </c>
      <c r="D1029" s="169"/>
      <c r="E1029" s="165" t="s">
        <v>150</v>
      </c>
      <c r="F1029" s="165" t="s">
        <v>76</v>
      </c>
      <c r="G1029" s="165">
        <v>5.0000000000000001E-3</v>
      </c>
      <c r="H1029" s="174">
        <f>VLOOKUP(C1029,'UPAH-BAHAN'!D:F,2,0)</f>
        <v>170000</v>
      </c>
      <c r="I1029" s="177">
        <f>G1029*H1029</f>
        <v>850</v>
      </c>
    </row>
    <row r="1030" spans="1:10" outlineLevel="1">
      <c r="B1030" s="165"/>
      <c r="C1030" s="168" t="s">
        <v>80</v>
      </c>
      <c r="D1030" s="169"/>
      <c r="E1030" s="165" t="s">
        <v>151</v>
      </c>
      <c r="F1030" s="165" t="s">
        <v>76</v>
      </c>
      <c r="G1030" s="165">
        <v>5.0000000000000001E-3</v>
      </c>
      <c r="H1030" s="174">
        <f>VLOOKUP(C1030,'UPAH-BAHAN'!D:F,2,0)</f>
        <v>225000</v>
      </c>
      <c r="I1030" s="177">
        <f>G1030*H1030</f>
        <v>1125</v>
      </c>
    </row>
    <row r="1031" spans="1:10" outlineLevel="1">
      <c r="B1031" s="165"/>
      <c r="C1031" s="168"/>
      <c r="D1031" s="169"/>
      <c r="E1031" s="170"/>
      <c r="F1031" s="170"/>
      <c r="G1031" s="340" t="s">
        <v>152</v>
      </c>
      <c r="H1031" s="177"/>
      <c r="I1031" s="177">
        <f>SUM(I1027:I1030)</f>
        <v>21975</v>
      </c>
    </row>
    <row r="1032" spans="1:10" outlineLevel="1">
      <c r="B1032" s="165" t="s">
        <v>153</v>
      </c>
      <c r="C1032" s="168" t="s">
        <v>154</v>
      </c>
      <c r="D1032" s="169"/>
      <c r="E1032" s="170"/>
      <c r="F1032" s="170"/>
      <c r="G1032" s="170"/>
      <c r="H1032" s="177"/>
      <c r="I1032" s="177"/>
    </row>
    <row r="1033" spans="1:10" outlineLevel="1">
      <c r="B1033" s="165"/>
      <c r="C1033" s="168" t="s">
        <v>120</v>
      </c>
      <c r="D1033" s="169"/>
      <c r="E1033" s="170"/>
      <c r="F1033" s="165" t="s">
        <v>198</v>
      </c>
      <c r="G1033" s="165">
        <v>0.36399999999999999</v>
      </c>
      <c r="H1033" s="174">
        <f>VLOOKUP(C1033,'UPAH-BAHAN'!D:F,2,0)</f>
        <v>15000</v>
      </c>
      <c r="I1033" s="177">
        <f>G1033*H1033</f>
        <v>5460</v>
      </c>
    </row>
    <row r="1034" spans="1:10" outlineLevel="1">
      <c r="B1034" s="165"/>
      <c r="C1034" s="168" t="s">
        <v>121</v>
      </c>
      <c r="D1034" s="169"/>
      <c r="E1034" s="170"/>
      <c r="F1034" s="165" t="s">
        <v>199</v>
      </c>
      <c r="G1034" s="173">
        <v>0.11</v>
      </c>
      <c r="H1034" s="174">
        <f>VLOOKUP(C1034,'UPAH-BAHAN'!D:F,2,0)</f>
        <v>55000</v>
      </c>
      <c r="I1034" s="177">
        <f>G1034*H1034</f>
        <v>6050</v>
      </c>
    </row>
    <row r="1035" spans="1:10" outlineLevel="1">
      <c r="B1035" s="165"/>
      <c r="C1035" s="168"/>
      <c r="D1035" s="169"/>
      <c r="E1035" s="170"/>
      <c r="F1035" s="170"/>
      <c r="G1035" s="340" t="s">
        <v>156</v>
      </c>
      <c r="H1035" s="177"/>
      <c r="I1035" s="177">
        <f>SUM(I1033:I1034)</f>
        <v>11510</v>
      </c>
    </row>
    <row r="1036" spans="1:10" outlineLevel="1">
      <c r="B1036" s="165" t="s">
        <v>157</v>
      </c>
      <c r="C1036" s="168" t="s">
        <v>158</v>
      </c>
      <c r="D1036" s="169"/>
      <c r="E1036" s="170"/>
      <c r="F1036" s="170"/>
      <c r="G1036" s="170"/>
      <c r="H1036" s="177"/>
      <c r="I1036" s="177"/>
    </row>
    <row r="1037" spans="1:10" outlineLevel="1">
      <c r="B1037" s="165"/>
      <c r="C1037" s="168"/>
      <c r="D1037" s="169"/>
      <c r="E1037" s="170"/>
      <c r="F1037" s="170"/>
      <c r="G1037" s="170"/>
      <c r="H1037" s="177"/>
      <c r="I1037" s="177"/>
    </row>
    <row r="1038" spans="1:10" outlineLevel="1">
      <c r="B1038" s="165"/>
      <c r="C1038" s="168"/>
      <c r="D1038" s="169"/>
      <c r="E1038" s="170"/>
      <c r="F1038" s="170"/>
      <c r="G1038" s="340" t="s">
        <v>159</v>
      </c>
      <c r="H1038" s="177"/>
      <c r="I1038" s="177"/>
    </row>
    <row r="1039" spans="1:10" outlineLevel="1">
      <c r="B1039" s="165"/>
      <c r="C1039" s="168"/>
      <c r="D1039" s="169"/>
      <c r="E1039" s="170"/>
      <c r="F1039" s="170"/>
      <c r="G1039" s="170"/>
      <c r="H1039" s="177"/>
      <c r="I1039" s="177">
        <f>SUM(I1038)</f>
        <v>0</v>
      </c>
    </row>
    <row r="1040" spans="1:10" outlineLevel="1">
      <c r="B1040" s="165" t="s">
        <v>160</v>
      </c>
      <c r="C1040" s="168" t="s">
        <v>161</v>
      </c>
      <c r="D1040" s="169"/>
      <c r="E1040" s="171"/>
      <c r="F1040" s="171"/>
      <c r="G1040" s="165"/>
      <c r="H1040" s="177"/>
      <c r="I1040" s="177">
        <f>I1031+I1035+I1039</f>
        <v>33485</v>
      </c>
    </row>
    <row r="1041" spans="1:10" outlineLevel="1">
      <c r="B1041" s="165" t="s">
        <v>162</v>
      </c>
      <c r="C1041" s="168" t="s">
        <v>82</v>
      </c>
      <c r="D1041" s="169"/>
      <c r="E1041" s="194"/>
      <c r="F1041" s="179"/>
      <c r="G1041" s="180">
        <f>$J$3</f>
        <v>0.15</v>
      </c>
      <c r="H1041" s="171"/>
      <c r="I1041" s="175">
        <f>I1040*G1041</f>
        <v>5022.75</v>
      </c>
    </row>
    <row r="1042" spans="1:10" outlineLevel="1">
      <c r="B1042" s="165" t="s">
        <v>163</v>
      </c>
      <c r="C1042" s="168" t="s">
        <v>164</v>
      </c>
      <c r="D1042" s="169"/>
      <c r="E1042" s="171"/>
      <c r="F1042" s="171"/>
      <c r="G1042" s="165"/>
      <c r="H1042" s="177"/>
      <c r="I1042" s="177">
        <f>I1040+I1041</f>
        <v>38507.75</v>
      </c>
    </row>
    <row r="1043" spans="1:10" outlineLevel="1">
      <c r="B1043" s="184"/>
      <c r="D1043" s="186"/>
      <c r="E1043" s="186"/>
      <c r="F1043" s="186"/>
      <c r="G1043" s="184"/>
      <c r="H1043" s="307"/>
      <c r="I1043" s="307"/>
    </row>
    <row r="1044" spans="1:10">
      <c r="B1044" s="184"/>
      <c r="D1044" s="186"/>
      <c r="E1044" s="186"/>
      <c r="F1044" s="186"/>
      <c r="G1044" s="184"/>
      <c r="H1044" s="307"/>
      <c r="I1044" s="307"/>
    </row>
    <row r="1045" spans="1:10" ht="20.399999999999999">
      <c r="A1045" s="155"/>
      <c r="B1045" s="571" t="s">
        <v>59</v>
      </c>
      <c r="C1045" s="156"/>
      <c r="D1045" s="156"/>
      <c r="E1045" s="156"/>
      <c r="F1045" s="156"/>
      <c r="G1045" s="712"/>
      <c r="H1045" s="157"/>
      <c r="I1045" s="156"/>
      <c r="J1045" s="158"/>
    </row>
    <row r="1046" spans="1:10">
      <c r="A1046" s="309" t="str">
        <f>B1046</f>
        <v>A.4.7.1.10.</v>
      </c>
      <c r="B1046" s="167" t="s">
        <v>139</v>
      </c>
      <c r="C1046" s="310"/>
      <c r="D1046" s="311" t="s">
        <v>207</v>
      </c>
      <c r="E1046" s="310"/>
      <c r="F1046" s="310"/>
      <c r="G1046" s="720"/>
      <c r="H1046" s="225"/>
      <c r="I1046" s="312"/>
      <c r="J1046" s="313">
        <f>I1065</f>
        <v>55114.9</v>
      </c>
    </row>
    <row r="1047" spans="1:10" ht="31.2" outlineLevel="1">
      <c r="A1047" s="163"/>
      <c r="B1047" s="164" t="s">
        <v>75</v>
      </c>
      <c r="C1047" s="1254" t="s">
        <v>140</v>
      </c>
      <c r="D1047" s="1255"/>
      <c r="E1047" s="164" t="s">
        <v>141</v>
      </c>
      <c r="F1047" s="164" t="s">
        <v>142</v>
      </c>
      <c r="G1047" s="164" t="s">
        <v>143</v>
      </c>
      <c r="H1047" s="165" t="s">
        <v>144</v>
      </c>
      <c r="I1047" s="165" t="s">
        <v>145</v>
      </c>
      <c r="J1047" s="166"/>
    </row>
    <row r="1048" spans="1:10" outlineLevel="1">
      <c r="A1048" s="314"/>
      <c r="B1048" s="315" t="s">
        <v>146</v>
      </c>
      <c r="C1048" s="206" t="s">
        <v>147</v>
      </c>
      <c r="D1048" s="207"/>
      <c r="E1048" s="750"/>
      <c r="F1048" s="316"/>
      <c r="G1048" s="316"/>
      <c r="H1048" s="317"/>
      <c r="I1048" s="318"/>
      <c r="J1048" s="257"/>
    </row>
    <row r="1049" spans="1:10" outlineLevel="1">
      <c r="A1049" s="314"/>
      <c r="B1049" s="315"/>
      <c r="C1049" s="206" t="s">
        <v>77</v>
      </c>
      <c r="D1049" s="207"/>
      <c r="E1049" s="315" t="s">
        <v>148</v>
      </c>
      <c r="F1049" s="316" t="s">
        <v>76</v>
      </c>
      <c r="G1049" s="319">
        <v>0.02</v>
      </c>
      <c r="H1049" s="174">
        <f>VLOOKUP(C1049,'UPAH-BAHAN'!D:F,2,0)</f>
        <v>120000</v>
      </c>
      <c r="I1049" s="318">
        <f>H1049*G1049</f>
        <v>2400</v>
      </c>
      <c r="J1049" s="257"/>
    </row>
    <row r="1050" spans="1:10" outlineLevel="1">
      <c r="A1050" s="314"/>
      <c r="B1050" s="315"/>
      <c r="C1050" s="206" t="s">
        <v>126</v>
      </c>
      <c r="D1050" s="207"/>
      <c r="E1050" s="315" t="s">
        <v>149</v>
      </c>
      <c r="F1050" s="316" t="s">
        <v>76</v>
      </c>
      <c r="G1050" s="316">
        <v>6.3E-2</v>
      </c>
      <c r="H1050" s="174">
        <f>VLOOKUP(C1050,'UPAH-BAHAN'!D:F,2,0)</f>
        <v>160000</v>
      </c>
      <c r="I1050" s="318">
        <f>H1050*G1050</f>
        <v>10080</v>
      </c>
      <c r="J1050" s="257"/>
    </row>
    <row r="1051" spans="1:10" outlineLevel="1">
      <c r="A1051" s="314"/>
      <c r="B1051" s="315"/>
      <c r="C1051" s="206" t="s">
        <v>99</v>
      </c>
      <c r="D1051" s="207"/>
      <c r="E1051" s="315" t="s">
        <v>150</v>
      </c>
      <c r="F1051" s="316" t="s">
        <v>76</v>
      </c>
      <c r="G1051" s="316">
        <v>6.3E-3</v>
      </c>
      <c r="H1051" s="174">
        <f>VLOOKUP(C1051,'UPAH-BAHAN'!D:F,2,0)</f>
        <v>170000</v>
      </c>
      <c r="I1051" s="318">
        <f>H1051*G1051</f>
        <v>1071</v>
      </c>
      <c r="J1051" s="257"/>
    </row>
    <row r="1052" spans="1:10" outlineLevel="1">
      <c r="A1052" s="314"/>
      <c r="B1052" s="315"/>
      <c r="C1052" s="206" t="s">
        <v>80</v>
      </c>
      <c r="D1052" s="207"/>
      <c r="E1052" s="315" t="s">
        <v>151</v>
      </c>
      <c r="F1052" s="316" t="s">
        <v>76</v>
      </c>
      <c r="G1052" s="316">
        <v>3.0000000000000001E-3</v>
      </c>
      <c r="H1052" s="174">
        <f>VLOOKUP(C1052,'UPAH-BAHAN'!D:F,2,0)</f>
        <v>225000</v>
      </c>
      <c r="I1052" s="318">
        <f>H1052*G1052</f>
        <v>675</v>
      </c>
      <c r="J1052" s="257"/>
    </row>
    <row r="1053" spans="1:10" outlineLevel="1">
      <c r="A1053" s="314"/>
      <c r="B1053" s="315"/>
      <c r="C1053" s="206"/>
      <c r="D1053" s="207"/>
      <c r="E1053" s="750"/>
      <c r="F1053" s="316"/>
      <c r="G1053" s="1251" t="s">
        <v>171</v>
      </c>
      <c r="H1053" s="1251"/>
      <c r="I1053" s="318">
        <f>SUM(I1049:I1052)</f>
        <v>14226</v>
      </c>
      <c r="J1053" s="257"/>
    </row>
    <row r="1054" spans="1:10" outlineLevel="1">
      <c r="A1054" s="314"/>
      <c r="B1054" s="315" t="s">
        <v>153</v>
      </c>
      <c r="C1054" s="206" t="s">
        <v>154</v>
      </c>
      <c r="D1054" s="207"/>
      <c r="E1054" s="750"/>
      <c r="F1054" s="316"/>
      <c r="G1054" s="316"/>
      <c r="H1054" s="208"/>
      <c r="I1054" s="318"/>
      <c r="J1054" s="257"/>
    </row>
    <row r="1055" spans="1:10" outlineLevel="1">
      <c r="A1055" s="314"/>
      <c r="B1055" s="315"/>
      <c r="C1055" s="206" t="s">
        <v>125</v>
      </c>
      <c r="D1055" s="207"/>
      <c r="E1055" s="750"/>
      <c r="F1055" s="316" t="s">
        <v>69</v>
      </c>
      <c r="G1055" s="320">
        <v>0.1</v>
      </c>
      <c r="H1055" s="174">
        <f>VLOOKUP(C1055,'UPAH-BAHAN'!D:F,2,0)</f>
        <v>15000</v>
      </c>
      <c r="I1055" s="318">
        <f>H1055*G1055</f>
        <v>1500</v>
      </c>
      <c r="J1055" s="257"/>
    </row>
    <row r="1056" spans="1:10" outlineLevel="1">
      <c r="A1056" s="314"/>
      <c r="B1056" s="315"/>
      <c r="C1056" s="168" t="s">
        <v>128</v>
      </c>
      <c r="D1056" s="207"/>
      <c r="E1056" s="750"/>
      <c r="F1056" s="316" t="s">
        <v>69</v>
      </c>
      <c r="G1056" s="320">
        <v>0.1</v>
      </c>
      <c r="H1056" s="174">
        <f>VLOOKUP(C1056,'UPAH-BAHAN'!D:F,2,0)</f>
        <v>75000</v>
      </c>
      <c r="I1056" s="318">
        <f>H1056*G1056</f>
        <v>7500</v>
      </c>
      <c r="J1056" s="257"/>
    </row>
    <row r="1057" spans="1:11" outlineLevel="1">
      <c r="A1057" s="314"/>
      <c r="B1057" s="315"/>
      <c r="C1057" s="168" t="s">
        <v>234</v>
      </c>
      <c r="D1057" s="207"/>
      <c r="E1057" s="750"/>
      <c r="F1057" s="316" t="s">
        <v>69</v>
      </c>
      <c r="G1057" s="316">
        <v>0.26</v>
      </c>
      <c r="H1057" s="174">
        <f>VLOOKUP(C1057,'UPAH-BAHAN'!D:F,2,0)</f>
        <v>95000</v>
      </c>
      <c r="I1057" s="318">
        <f>H1057*G1057</f>
        <v>24700</v>
      </c>
      <c r="J1057" s="257"/>
    </row>
    <row r="1058" spans="1:11" outlineLevel="1">
      <c r="A1058" s="314"/>
      <c r="B1058" s="315"/>
      <c r="C1058" s="206"/>
      <c r="D1058" s="207"/>
      <c r="E1058" s="750"/>
      <c r="F1058" s="316"/>
      <c r="G1058" s="1251" t="s">
        <v>189</v>
      </c>
      <c r="H1058" s="1251"/>
      <c r="I1058" s="318">
        <f>SUM(I1055:I1057)</f>
        <v>33700</v>
      </c>
      <c r="J1058" s="257"/>
      <c r="K1058" s="154">
        <f>875000/25</f>
        <v>35000</v>
      </c>
    </row>
    <row r="1059" spans="1:11" outlineLevel="1">
      <c r="A1059" s="314"/>
      <c r="B1059" s="315" t="s">
        <v>157</v>
      </c>
      <c r="C1059" s="206" t="s">
        <v>158</v>
      </c>
      <c r="D1059" s="207"/>
      <c r="E1059" s="750"/>
      <c r="F1059" s="316"/>
      <c r="G1059" s="316"/>
      <c r="H1059" s="321"/>
      <c r="I1059" s="318"/>
      <c r="J1059" s="257"/>
    </row>
    <row r="1060" spans="1:11" outlineLevel="1">
      <c r="A1060" s="314"/>
      <c r="B1060" s="315"/>
      <c r="C1060" s="206"/>
      <c r="D1060" s="207"/>
      <c r="E1060" s="750"/>
      <c r="F1060" s="316"/>
      <c r="G1060" s="214"/>
      <c r="H1060" s="321"/>
      <c r="I1060" s="318"/>
      <c r="J1060" s="257"/>
    </row>
    <row r="1061" spans="1:11" outlineLevel="1">
      <c r="A1061" s="314"/>
      <c r="B1061" s="315"/>
      <c r="C1061" s="206"/>
      <c r="D1061" s="207"/>
      <c r="E1061" s="750"/>
      <c r="F1061" s="316"/>
      <c r="G1061" s="1251" t="s">
        <v>159</v>
      </c>
      <c r="H1061" s="1251"/>
      <c r="I1061" s="318">
        <f>I1060</f>
        <v>0</v>
      </c>
      <c r="J1061" s="257"/>
    </row>
    <row r="1062" spans="1:11" outlineLevel="1">
      <c r="A1062" s="314"/>
      <c r="B1062" s="315"/>
      <c r="C1062" s="1252"/>
      <c r="D1062" s="1253"/>
      <c r="E1062" s="750"/>
      <c r="F1062" s="316"/>
      <c r="G1062" s="316"/>
      <c r="H1062" s="321"/>
      <c r="I1062" s="318"/>
      <c r="J1062" s="257"/>
    </row>
    <row r="1063" spans="1:11" outlineLevel="1">
      <c r="A1063" s="314"/>
      <c r="B1063" s="315" t="s">
        <v>160</v>
      </c>
      <c r="C1063" s="206" t="s">
        <v>161</v>
      </c>
      <c r="D1063" s="207"/>
      <c r="E1063" s="751"/>
      <c r="F1063" s="322"/>
      <c r="G1063" s="316"/>
      <c r="H1063" s="321"/>
      <c r="I1063" s="318">
        <f>I1061+I1058+I1053</f>
        <v>47926</v>
      </c>
      <c r="J1063" s="257"/>
    </row>
    <row r="1064" spans="1:11" outlineLevel="1">
      <c r="B1064" s="165" t="s">
        <v>162</v>
      </c>
      <c r="C1064" s="168" t="s">
        <v>82</v>
      </c>
      <c r="D1064" s="169"/>
      <c r="E1064" s="194"/>
      <c r="F1064" s="179"/>
      <c r="G1064" s="180">
        <f>$J$3</f>
        <v>0.15</v>
      </c>
      <c r="H1064" s="171"/>
      <c r="I1064" s="175">
        <f>I1063*G1064</f>
        <v>7188.9</v>
      </c>
    </row>
    <row r="1065" spans="1:11" outlineLevel="1">
      <c r="A1065" s="314"/>
      <c r="B1065" s="315" t="s">
        <v>163</v>
      </c>
      <c r="C1065" s="206" t="s">
        <v>164</v>
      </c>
      <c r="D1065" s="207"/>
      <c r="E1065" s="751"/>
      <c r="F1065" s="322"/>
      <c r="G1065" s="316"/>
      <c r="H1065" s="321"/>
      <c r="I1065" s="318">
        <f>I1064+I1063</f>
        <v>55114.9</v>
      </c>
      <c r="J1065" s="257"/>
    </row>
    <row r="1066" spans="1:11" outlineLevel="1">
      <c r="A1066" s="314"/>
      <c r="B1066" s="221"/>
      <c r="C1066" s="222"/>
      <c r="D1066" s="223"/>
      <c r="E1066" s="223"/>
      <c r="F1066" s="323"/>
      <c r="G1066" s="324"/>
      <c r="H1066" s="325"/>
      <c r="I1066" s="326"/>
      <c r="J1066" s="257"/>
    </row>
    <row r="1067" spans="1:11">
      <c r="A1067" s="309" t="str">
        <f>B1067</f>
        <v>A.4.7.1.11.</v>
      </c>
      <c r="B1067" s="167" t="s">
        <v>611</v>
      </c>
      <c r="C1067" s="310"/>
      <c r="D1067" s="311" t="s">
        <v>612</v>
      </c>
      <c r="E1067" s="310"/>
      <c r="F1067" s="310"/>
      <c r="G1067" s="720"/>
      <c r="H1067" s="225"/>
      <c r="I1067" s="312"/>
      <c r="J1067" s="313">
        <f>I1085</f>
        <v>43204.35</v>
      </c>
    </row>
    <row r="1068" spans="1:11" ht="31.2" outlineLevel="1">
      <c r="A1068" s="163"/>
      <c r="B1068" s="164" t="s">
        <v>75</v>
      </c>
      <c r="C1068" s="1254" t="s">
        <v>140</v>
      </c>
      <c r="D1068" s="1255"/>
      <c r="E1068" s="164" t="s">
        <v>141</v>
      </c>
      <c r="F1068" s="164" t="s">
        <v>142</v>
      </c>
      <c r="G1068" s="164" t="s">
        <v>143</v>
      </c>
      <c r="H1068" s="165" t="s">
        <v>144</v>
      </c>
      <c r="I1068" s="165" t="s">
        <v>145</v>
      </c>
      <c r="J1068" s="166"/>
    </row>
    <row r="1069" spans="1:11" outlineLevel="1">
      <c r="A1069" s="314"/>
      <c r="B1069" s="315" t="s">
        <v>146</v>
      </c>
      <c r="C1069" s="206" t="s">
        <v>147</v>
      </c>
      <c r="D1069" s="207"/>
      <c r="E1069" s="750"/>
      <c r="F1069" s="316"/>
      <c r="G1069" s="316"/>
      <c r="H1069" s="317"/>
      <c r="I1069" s="318"/>
      <c r="J1069" s="257"/>
    </row>
    <row r="1070" spans="1:11" outlineLevel="1">
      <c r="A1070" s="314"/>
      <c r="B1070" s="315"/>
      <c r="C1070" s="206" t="s">
        <v>77</v>
      </c>
      <c r="D1070" s="207"/>
      <c r="E1070" s="315" t="s">
        <v>148</v>
      </c>
      <c r="F1070" s="316" t="s">
        <v>76</v>
      </c>
      <c r="G1070" s="319">
        <v>2.8000000000000001E-2</v>
      </c>
      <c r="H1070" s="174">
        <f>VLOOKUP(C1070,'UPAH-BAHAN'!D:F,2,0)</f>
        <v>120000</v>
      </c>
      <c r="I1070" s="318">
        <f>H1070*G1070</f>
        <v>3360</v>
      </c>
      <c r="J1070" s="257"/>
    </row>
    <row r="1071" spans="1:11" outlineLevel="1">
      <c r="A1071" s="314"/>
      <c r="B1071" s="315"/>
      <c r="C1071" s="206" t="s">
        <v>126</v>
      </c>
      <c r="D1071" s="207"/>
      <c r="E1071" s="315" t="s">
        <v>149</v>
      </c>
      <c r="F1071" s="316" t="s">
        <v>76</v>
      </c>
      <c r="G1071" s="316">
        <v>4.2000000000000003E-2</v>
      </c>
      <c r="H1071" s="174">
        <f>VLOOKUP(C1071,'UPAH-BAHAN'!D:F,2,0)</f>
        <v>160000</v>
      </c>
      <c r="I1071" s="318">
        <f>H1071*G1071</f>
        <v>6720</v>
      </c>
      <c r="J1071" s="257"/>
    </row>
    <row r="1072" spans="1:11" outlineLevel="1">
      <c r="A1072" s="314"/>
      <c r="B1072" s="315"/>
      <c r="C1072" s="206" t="s">
        <v>99</v>
      </c>
      <c r="D1072" s="207"/>
      <c r="E1072" s="315" t="s">
        <v>150</v>
      </c>
      <c r="F1072" s="316" t="s">
        <v>76</v>
      </c>
      <c r="G1072" s="316">
        <v>4.1999999999999997E-3</v>
      </c>
      <c r="H1072" s="174">
        <f>VLOOKUP(C1072,'UPAH-BAHAN'!D:F,2,0)</f>
        <v>170000</v>
      </c>
      <c r="I1072" s="318">
        <f>H1072*G1072</f>
        <v>714</v>
      </c>
      <c r="J1072" s="257"/>
    </row>
    <row r="1073" spans="1:10" outlineLevel="1">
      <c r="A1073" s="314"/>
      <c r="B1073" s="315"/>
      <c r="C1073" s="206" t="s">
        <v>80</v>
      </c>
      <c r="D1073" s="207"/>
      <c r="E1073" s="315" t="s">
        <v>151</v>
      </c>
      <c r="F1073" s="316" t="s">
        <v>76</v>
      </c>
      <c r="G1073" s="316">
        <v>3.0000000000000001E-3</v>
      </c>
      <c r="H1073" s="174">
        <f>VLOOKUP(C1073,'UPAH-BAHAN'!D:F,2,0)</f>
        <v>225000</v>
      </c>
      <c r="I1073" s="318">
        <f>H1073*G1073</f>
        <v>675</v>
      </c>
      <c r="J1073" s="257"/>
    </row>
    <row r="1074" spans="1:10" outlineLevel="1">
      <c r="A1074" s="314"/>
      <c r="B1074" s="315"/>
      <c r="C1074" s="206"/>
      <c r="D1074" s="207"/>
      <c r="E1074" s="750"/>
      <c r="F1074" s="316"/>
      <c r="G1074" s="1251" t="s">
        <v>171</v>
      </c>
      <c r="H1074" s="1251"/>
      <c r="I1074" s="318">
        <f>SUM(I1070:I1073)</f>
        <v>11469</v>
      </c>
      <c r="J1074" s="257"/>
    </row>
    <row r="1075" spans="1:10" outlineLevel="1">
      <c r="A1075" s="314"/>
      <c r="B1075" s="315" t="s">
        <v>153</v>
      </c>
      <c r="C1075" s="206" t="s">
        <v>154</v>
      </c>
      <c r="D1075" s="207"/>
      <c r="E1075" s="750"/>
      <c r="F1075" s="316"/>
      <c r="G1075" s="316"/>
      <c r="H1075" s="208"/>
      <c r="I1075" s="318"/>
      <c r="J1075" s="257"/>
    </row>
    <row r="1076" spans="1:10" outlineLevel="1">
      <c r="A1076" s="314"/>
      <c r="B1076" s="315"/>
      <c r="C1076" s="168" t="s">
        <v>128</v>
      </c>
      <c r="D1076" s="207"/>
      <c r="E1076" s="750"/>
      <c r="F1076" s="316" t="s">
        <v>69</v>
      </c>
      <c r="G1076" s="320">
        <v>0.12</v>
      </c>
      <c r="H1076" s="174">
        <f>VLOOKUP(C1076,'UPAH-BAHAN'!D:F,2,0)</f>
        <v>75000</v>
      </c>
      <c r="I1076" s="318">
        <f>H1076*G1076</f>
        <v>9000</v>
      </c>
      <c r="J1076" s="257"/>
    </row>
    <row r="1077" spans="1:10" outlineLevel="1">
      <c r="A1077" s="314"/>
      <c r="B1077" s="315"/>
      <c r="C1077" s="168" t="s">
        <v>234</v>
      </c>
      <c r="D1077" s="207"/>
      <c r="E1077" s="750"/>
      <c r="F1077" s="316" t="s">
        <v>69</v>
      </c>
      <c r="G1077" s="316">
        <v>0.18</v>
      </c>
      <c r="H1077" s="174">
        <f>VLOOKUP(C1077,'UPAH-BAHAN'!D:F,2,0)</f>
        <v>95000</v>
      </c>
      <c r="I1077" s="318">
        <f>H1077*G1077</f>
        <v>17100</v>
      </c>
      <c r="J1077" s="257"/>
    </row>
    <row r="1078" spans="1:10" outlineLevel="1">
      <c r="A1078" s="314"/>
      <c r="B1078" s="315"/>
      <c r="C1078" s="206"/>
      <c r="D1078" s="207"/>
      <c r="E1078" s="750"/>
      <c r="F1078" s="316"/>
      <c r="G1078" s="1251" t="s">
        <v>189</v>
      </c>
      <c r="H1078" s="1251"/>
      <c r="I1078" s="318">
        <f>SUM(I1076:I1077)</f>
        <v>26100</v>
      </c>
      <c r="J1078" s="257"/>
    </row>
    <row r="1079" spans="1:10" outlineLevel="1">
      <c r="A1079" s="314"/>
      <c r="B1079" s="315" t="s">
        <v>157</v>
      </c>
      <c r="C1079" s="206" t="s">
        <v>158</v>
      </c>
      <c r="D1079" s="207"/>
      <c r="E1079" s="750"/>
      <c r="F1079" s="316"/>
      <c r="G1079" s="316"/>
      <c r="H1079" s="321"/>
      <c r="I1079" s="318"/>
      <c r="J1079" s="257"/>
    </row>
    <row r="1080" spans="1:10" outlineLevel="1">
      <c r="A1080" s="314"/>
      <c r="B1080" s="315"/>
      <c r="C1080" s="206"/>
      <c r="D1080" s="207"/>
      <c r="E1080" s="750"/>
      <c r="F1080" s="316"/>
      <c r="G1080" s="214"/>
      <c r="H1080" s="321"/>
      <c r="I1080" s="318"/>
      <c r="J1080" s="257"/>
    </row>
    <row r="1081" spans="1:10" outlineLevel="1">
      <c r="A1081" s="314"/>
      <c r="B1081" s="315"/>
      <c r="C1081" s="206"/>
      <c r="D1081" s="207"/>
      <c r="E1081" s="750"/>
      <c r="F1081" s="316"/>
      <c r="G1081" s="1251" t="s">
        <v>159</v>
      </c>
      <c r="H1081" s="1251"/>
      <c r="I1081" s="318">
        <f>I1080</f>
        <v>0</v>
      </c>
      <c r="J1081" s="257"/>
    </row>
    <row r="1082" spans="1:10" outlineLevel="1">
      <c r="A1082" s="314"/>
      <c r="B1082" s="315"/>
      <c r="C1082" s="1252"/>
      <c r="D1082" s="1253"/>
      <c r="E1082" s="750"/>
      <c r="F1082" s="316"/>
      <c r="G1082" s="316"/>
      <c r="H1082" s="321"/>
      <c r="I1082" s="318"/>
      <c r="J1082" s="257"/>
    </row>
    <row r="1083" spans="1:10" outlineLevel="1">
      <c r="A1083" s="314"/>
      <c r="B1083" s="315" t="s">
        <v>160</v>
      </c>
      <c r="C1083" s="206" t="s">
        <v>161</v>
      </c>
      <c r="D1083" s="207"/>
      <c r="E1083" s="751"/>
      <c r="F1083" s="322"/>
      <c r="G1083" s="316"/>
      <c r="H1083" s="321"/>
      <c r="I1083" s="318">
        <f>I1081+I1078+I1074</f>
        <v>37569</v>
      </c>
      <c r="J1083" s="257"/>
    </row>
    <row r="1084" spans="1:10" outlineLevel="1">
      <c r="B1084" s="165" t="s">
        <v>162</v>
      </c>
      <c r="C1084" s="168" t="s">
        <v>82</v>
      </c>
      <c r="D1084" s="169"/>
      <c r="E1084" s="194"/>
      <c r="F1084" s="179"/>
      <c r="G1084" s="180">
        <f>$J$3</f>
        <v>0.15</v>
      </c>
      <c r="H1084" s="171"/>
      <c r="I1084" s="175">
        <f>I1083*G1084</f>
        <v>5635.3499999999995</v>
      </c>
    </row>
    <row r="1085" spans="1:10" outlineLevel="1">
      <c r="A1085" s="314"/>
      <c r="B1085" s="315" t="s">
        <v>163</v>
      </c>
      <c r="C1085" s="206" t="s">
        <v>164</v>
      </c>
      <c r="D1085" s="207"/>
      <c r="E1085" s="751"/>
      <c r="F1085" s="322"/>
      <c r="G1085" s="316"/>
      <c r="H1085" s="321"/>
      <c r="I1085" s="318">
        <f>I1084+I1083</f>
        <v>43204.35</v>
      </c>
      <c r="J1085" s="257"/>
    </row>
    <row r="1086" spans="1:10" outlineLevel="1">
      <c r="A1086" s="314"/>
      <c r="B1086" s="221"/>
      <c r="C1086" s="222"/>
      <c r="D1086" s="223"/>
      <c r="E1086" s="223"/>
      <c r="F1086" s="323"/>
      <c r="G1086" s="324"/>
      <c r="H1086" s="325"/>
      <c r="I1086" s="326"/>
      <c r="J1086" s="257"/>
    </row>
    <row r="1087" spans="1:10">
      <c r="A1087" s="167" t="str">
        <f>B1087</f>
        <v>A.4.7.1.4.</v>
      </c>
      <c r="B1087" s="287" t="s">
        <v>339</v>
      </c>
      <c r="D1087" s="167" t="s">
        <v>200</v>
      </c>
      <c r="J1087" s="172">
        <f>I1110</f>
        <v>86347.75</v>
      </c>
    </row>
    <row r="1088" spans="1:10" ht="31.2" outlineLevel="1">
      <c r="A1088" s="163"/>
      <c r="B1088" s="164" t="s">
        <v>75</v>
      </c>
      <c r="C1088" s="1254" t="s">
        <v>140</v>
      </c>
      <c r="D1088" s="1255"/>
      <c r="E1088" s="164" t="s">
        <v>141</v>
      </c>
      <c r="F1088" s="164" t="s">
        <v>142</v>
      </c>
      <c r="G1088" s="164" t="s">
        <v>143</v>
      </c>
      <c r="H1088" s="165" t="s">
        <v>144</v>
      </c>
      <c r="I1088" s="165" t="s">
        <v>145</v>
      </c>
      <c r="J1088" s="166"/>
    </row>
    <row r="1089" spans="2:9" outlineLevel="1">
      <c r="B1089" s="165" t="s">
        <v>146</v>
      </c>
      <c r="C1089" s="168" t="s">
        <v>147</v>
      </c>
      <c r="D1089" s="169"/>
      <c r="E1089" s="170"/>
      <c r="F1089" s="274"/>
      <c r="G1089" s="274"/>
      <c r="H1089" s="279"/>
      <c r="I1089" s="279"/>
    </row>
    <row r="1090" spans="2:9" outlineLevel="1">
      <c r="B1090" s="165"/>
      <c r="C1090" s="168" t="s">
        <v>77</v>
      </c>
      <c r="D1090" s="169"/>
      <c r="E1090" s="165" t="s">
        <v>148</v>
      </c>
      <c r="F1090" s="275" t="s">
        <v>76</v>
      </c>
      <c r="G1090" s="276">
        <v>7.0000000000000007E-2</v>
      </c>
      <c r="H1090" s="174">
        <f>VLOOKUP(C1090,'UPAH-BAHAN'!D:F,2,0)</f>
        <v>120000</v>
      </c>
      <c r="I1090" s="296">
        <f>H1090*G1090</f>
        <v>8400</v>
      </c>
    </row>
    <row r="1091" spans="2:9" outlineLevel="1">
      <c r="B1091" s="165"/>
      <c r="C1091" s="168" t="s">
        <v>126</v>
      </c>
      <c r="D1091" s="169"/>
      <c r="E1091" s="165" t="s">
        <v>149</v>
      </c>
      <c r="F1091" s="275" t="s">
        <v>76</v>
      </c>
      <c r="G1091" s="275">
        <v>8.9999999999999993E-3</v>
      </c>
      <c r="H1091" s="174">
        <f>VLOOKUP(C1091,'UPAH-BAHAN'!D:F,2,0)</f>
        <v>160000</v>
      </c>
      <c r="I1091" s="296">
        <f>H1091*G1091</f>
        <v>1440</v>
      </c>
    </row>
    <row r="1092" spans="2:9" outlineLevel="1">
      <c r="B1092" s="165"/>
      <c r="C1092" s="168" t="s">
        <v>99</v>
      </c>
      <c r="D1092" s="169"/>
      <c r="E1092" s="165" t="s">
        <v>150</v>
      </c>
      <c r="F1092" s="275" t="s">
        <v>76</v>
      </c>
      <c r="G1092" s="275">
        <v>6.0000000000000001E-3</v>
      </c>
      <c r="H1092" s="174">
        <f>VLOOKUP(C1092,'UPAH-BAHAN'!D:F,2,0)</f>
        <v>170000</v>
      </c>
      <c r="I1092" s="296">
        <f>H1092*G1092</f>
        <v>1020</v>
      </c>
    </row>
    <row r="1093" spans="2:9" outlineLevel="1">
      <c r="B1093" s="165"/>
      <c r="C1093" s="168" t="s">
        <v>80</v>
      </c>
      <c r="D1093" s="169"/>
      <c r="E1093" s="165" t="s">
        <v>151</v>
      </c>
      <c r="F1093" s="275" t="s">
        <v>76</v>
      </c>
      <c r="G1093" s="275">
        <v>3.0000000000000001E-3</v>
      </c>
      <c r="H1093" s="174">
        <f>VLOOKUP(C1093,'UPAH-BAHAN'!D:F,2,0)</f>
        <v>225000</v>
      </c>
      <c r="I1093" s="296">
        <f>H1093*G1093</f>
        <v>675</v>
      </c>
    </row>
    <row r="1094" spans="2:9" outlineLevel="1">
      <c r="B1094" s="165"/>
      <c r="C1094" s="168"/>
      <c r="D1094" s="169"/>
      <c r="E1094" s="170"/>
      <c r="F1094" s="274"/>
      <c r="G1094" s="340" t="s">
        <v>171</v>
      </c>
      <c r="H1094" s="296"/>
      <c r="I1094" s="296">
        <f>SUM(I1090:I1093)</f>
        <v>11535</v>
      </c>
    </row>
    <row r="1095" spans="2:9" outlineLevel="1">
      <c r="B1095" s="165" t="s">
        <v>153</v>
      </c>
      <c r="C1095" s="168" t="s">
        <v>154</v>
      </c>
      <c r="D1095" s="169"/>
      <c r="E1095" s="170"/>
      <c r="F1095" s="274"/>
      <c r="G1095" s="274"/>
      <c r="H1095" s="296"/>
      <c r="I1095" s="296"/>
    </row>
    <row r="1096" spans="2:9" outlineLevel="1">
      <c r="B1096" s="165"/>
      <c r="C1096" s="168" t="s">
        <v>127</v>
      </c>
      <c r="D1096" s="169"/>
      <c r="E1096" s="170"/>
      <c r="F1096" s="275" t="s">
        <v>69</v>
      </c>
      <c r="G1096" s="275">
        <v>0.2</v>
      </c>
      <c r="H1096" s="174">
        <f>VLOOKUP(C1096,'UPAH-BAHAN'!D:F,2,0)</f>
        <v>75000</v>
      </c>
      <c r="I1096" s="296">
        <f>H1096*G1096</f>
        <v>15000</v>
      </c>
    </row>
    <row r="1097" spans="2:9" outlineLevel="1">
      <c r="B1097" s="165"/>
      <c r="C1097" s="168" t="s">
        <v>125</v>
      </c>
      <c r="D1097" s="169"/>
      <c r="E1097" s="170"/>
      <c r="F1097" s="275" t="s">
        <v>69</v>
      </c>
      <c r="G1097" s="275">
        <v>0.15</v>
      </c>
      <c r="H1097" s="174">
        <f>VLOOKUP(C1097,'UPAH-BAHAN'!D:F,2,0)</f>
        <v>15000</v>
      </c>
      <c r="I1097" s="296">
        <f t="shared" ref="I1097:I1102" si="7">H1097*G1097</f>
        <v>2250</v>
      </c>
    </row>
    <row r="1098" spans="2:9" outlineLevel="1">
      <c r="B1098" s="165"/>
      <c r="C1098" s="168" t="s">
        <v>128</v>
      </c>
      <c r="D1098" s="169"/>
      <c r="E1098" s="170"/>
      <c r="F1098" s="275" t="s">
        <v>69</v>
      </c>
      <c r="G1098" s="275">
        <v>0.17</v>
      </c>
      <c r="H1098" s="174">
        <f>VLOOKUP(C1098,'UPAH-BAHAN'!D:F,2,0)</f>
        <v>75000</v>
      </c>
      <c r="I1098" s="296">
        <f t="shared" si="7"/>
        <v>12750.000000000002</v>
      </c>
    </row>
    <row r="1099" spans="2:9" outlineLevel="1">
      <c r="B1099" s="165"/>
      <c r="C1099" s="168" t="s">
        <v>201</v>
      </c>
      <c r="D1099" s="169"/>
      <c r="E1099" s="170"/>
      <c r="F1099" s="275" t="s">
        <v>69</v>
      </c>
      <c r="G1099" s="275">
        <v>0.26</v>
      </c>
      <c r="H1099" s="174">
        <f>VLOOKUP(C1099,'UPAH-BAHAN'!D:F,2,0)</f>
        <v>120000</v>
      </c>
      <c r="I1099" s="296">
        <f t="shared" si="7"/>
        <v>31200</v>
      </c>
    </row>
    <row r="1100" spans="2:9" outlineLevel="1">
      <c r="B1100" s="165"/>
      <c r="C1100" s="168" t="s">
        <v>202</v>
      </c>
      <c r="D1100" s="169"/>
      <c r="E1100" s="170"/>
      <c r="F1100" s="165" t="s">
        <v>23</v>
      </c>
      <c r="G1100" s="165">
        <v>0.01</v>
      </c>
      <c r="H1100" s="174">
        <f>VLOOKUP(C1100,'UPAH-BAHAN'!D:F,2,0)</f>
        <v>30000</v>
      </c>
      <c r="I1100" s="296">
        <f t="shared" si="7"/>
        <v>300</v>
      </c>
    </row>
    <row r="1101" spans="2:9" outlineLevel="1">
      <c r="B1101" s="165"/>
      <c r="C1101" s="168" t="s">
        <v>129</v>
      </c>
      <c r="D1101" s="169"/>
      <c r="E1101" s="170"/>
      <c r="F1101" s="165" t="s">
        <v>69</v>
      </c>
      <c r="G1101" s="165">
        <v>0.03</v>
      </c>
      <c r="H1101" s="174">
        <f>VLOOKUP(C1101,'UPAH-BAHAN'!D:F,2,0)</f>
        <v>15000</v>
      </c>
      <c r="I1101" s="296">
        <f t="shared" si="7"/>
        <v>450</v>
      </c>
    </row>
    <row r="1102" spans="2:9" outlineLevel="1">
      <c r="B1102" s="165"/>
      <c r="C1102" s="168" t="s">
        <v>130</v>
      </c>
      <c r="D1102" s="169"/>
      <c r="E1102" s="170"/>
      <c r="F1102" s="165" t="s">
        <v>110</v>
      </c>
      <c r="G1102" s="165">
        <v>0.2</v>
      </c>
      <c r="H1102" s="174">
        <f>VLOOKUP(C1102,'UPAH-BAHAN'!D:F,2,0)</f>
        <v>8000</v>
      </c>
      <c r="I1102" s="296">
        <f t="shared" si="7"/>
        <v>1600</v>
      </c>
    </row>
    <row r="1103" spans="2:9" outlineLevel="1">
      <c r="B1103" s="165"/>
      <c r="C1103" s="168"/>
      <c r="D1103" s="169"/>
      <c r="E1103" s="170"/>
      <c r="F1103" s="274"/>
      <c r="G1103" s="340" t="s">
        <v>172</v>
      </c>
      <c r="H1103" s="296"/>
      <c r="I1103" s="296">
        <f>SUM(I1096:I1102)</f>
        <v>63550</v>
      </c>
    </row>
    <row r="1104" spans="2:9" outlineLevel="1">
      <c r="B1104" s="165" t="s">
        <v>157</v>
      </c>
      <c r="C1104" s="168" t="s">
        <v>158</v>
      </c>
      <c r="D1104" s="169"/>
      <c r="E1104" s="170"/>
      <c r="F1104" s="274"/>
      <c r="G1104" s="274"/>
      <c r="H1104" s="279"/>
      <c r="I1104" s="279"/>
    </row>
    <row r="1105" spans="1:10" outlineLevel="1">
      <c r="B1105" s="165"/>
      <c r="C1105" s="168"/>
      <c r="D1105" s="169"/>
      <c r="E1105" s="170"/>
      <c r="F1105" s="274"/>
      <c r="G1105" s="274"/>
      <c r="H1105" s="279"/>
      <c r="I1105" s="279"/>
    </row>
    <row r="1106" spans="1:10" outlineLevel="1">
      <c r="B1106" s="275"/>
      <c r="C1106" s="327"/>
      <c r="D1106" s="328"/>
      <c r="E1106" s="170"/>
      <c r="F1106" s="274"/>
      <c r="G1106" s="340" t="s">
        <v>159</v>
      </c>
      <c r="H1106" s="279"/>
      <c r="I1106" s="279">
        <f>I1105</f>
        <v>0</v>
      </c>
    </row>
    <row r="1107" spans="1:10" outlineLevel="1">
      <c r="B1107" s="274"/>
      <c r="C1107" s="329"/>
      <c r="D1107" s="330"/>
      <c r="E1107" s="170"/>
      <c r="F1107" s="274"/>
      <c r="G1107" s="274"/>
      <c r="H1107" s="279"/>
      <c r="I1107" s="279"/>
    </row>
    <row r="1108" spans="1:10" outlineLevel="1">
      <c r="B1108" s="165" t="s">
        <v>160</v>
      </c>
      <c r="C1108" s="168" t="s">
        <v>161</v>
      </c>
      <c r="D1108" s="169"/>
      <c r="E1108" s="171"/>
      <c r="F1108" s="279"/>
      <c r="G1108" s="275"/>
      <c r="H1108" s="279"/>
      <c r="I1108" s="296">
        <f>I1106+I1103+I1094</f>
        <v>75085</v>
      </c>
    </row>
    <row r="1109" spans="1:10" outlineLevel="1">
      <c r="B1109" s="165" t="s">
        <v>162</v>
      </c>
      <c r="C1109" s="168" t="s">
        <v>82</v>
      </c>
      <c r="D1109" s="169"/>
      <c r="E1109" s="194"/>
      <c r="F1109" s="179"/>
      <c r="G1109" s="180">
        <f>$J$3</f>
        <v>0.15</v>
      </c>
      <c r="H1109" s="171"/>
      <c r="I1109" s="175">
        <f>I1108*G1109</f>
        <v>11262.75</v>
      </c>
    </row>
    <row r="1110" spans="1:10" outlineLevel="1">
      <c r="B1110" s="165" t="s">
        <v>163</v>
      </c>
      <c r="C1110" s="168" t="s">
        <v>164</v>
      </c>
      <c r="D1110" s="169"/>
      <c r="E1110" s="171"/>
      <c r="F1110" s="279"/>
      <c r="G1110" s="275"/>
      <c r="H1110" s="279"/>
      <c r="I1110" s="296">
        <f>I1109+I1108</f>
        <v>86347.75</v>
      </c>
    </row>
    <row r="1111" spans="1:10" outlineLevel="1">
      <c r="B1111" s="184"/>
      <c r="D1111" s="186"/>
      <c r="E1111" s="186"/>
      <c r="F1111" s="280"/>
      <c r="G1111" s="718"/>
      <c r="H1111" s="280"/>
      <c r="I1111" s="331"/>
    </row>
    <row r="1112" spans="1:10" ht="15.6" customHeight="1">
      <c r="A1112" s="167" t="str">
        <f>B1112</f>
        <v>3.3.19.(c)</v>
      </c>
      <c r="B1112" s="287" t="s">
        <v>624</v>
      </c>
      <c r="D1112" s="167" t="s">
        <v>625</v>
      </c>
      <c r="E1112" s="167"/>
      <c r="F1112" s="167"/>
      <c r="G1112" s="163"/>
      <c r="H1112" s="167"/>
      <c r="I1112" s="167"/>
      <c r="J1112" s="172">
        <f>I1130</f>
        <v>228907.5</v>
      </c>
    </row>
    <row r="1113" spans="1:10" ht="31.2" outlineLevel="1">
      <c r="A1113" s="163"/>
      <c r="B1113" s="658" t="s">
        <v>75</v>
      </c>
      <c r="C1113" s="1249" t="s">
        <v>140</v>
      </c>
      <c r="D1113" s="1250"/>
      <c r="E1113" s="658" t="s">
        <v>141</v>
      </c>
      <c r="F1113" s="658" t="s">
        <v>142</v>
      </c>
      <c r="G1113" s="658" t="s">
        <v>143</v>
      </c>
      <c r="H1113" s="659" t="s">
        <v>144</v>
      </c>
      <c r="I1113" s="659" t="s">
        <v>145</v>
      </c>
      <c r="J1113" s="166"/>
    </row>
    <row r="1114" spans="1:10" outlineLevel="1">
      <c r="B1114" s="659" t="s">
        <v>146</v>
      </c>
      <c r="C1114" s="660" t="s">
        <v>147</v>
      </c>
      <c r="D1114" s="661"/>
      <c r="E1114" s="688"/>
      <c r="F1114" s="662"/>
      <c r="G1114" s="662"/>
      <c r="H1114" s="663"/>
      <c r="I1114" s="663"/>
    </row>
    <row r="1115" spans="1:10" outlineLevel="1">
      <c r="B1115" s="659"/>
      <c r="C1115" s="660" t="s">
        <v>77</v>
      </c>
      <c r="D1115" s="661"/>
      <c r="E1115" s="659" t="s">
        <v>148</v>
      </c>
      <c r="F1115" s="664" t="s">
        <v>76</v>
      </c>
      <c r="G1115" s="665">
        <v>0.4</v>
      </c>
      <c r="H1115" s="174">
        <f>VLOOKUP(C1115,'UPAH-BAHAN'!D:F,2,0)</f>
        <v>120000</v>
      </c>
      <c r="I1115" s="666">
        <f>H1115*G1115</f>
        <v>48000</v>
      </c>
    </row>
    <row r="1116" spans="1:10" outlineLevel="1">
      <c r="B1116" s="659"/>
      <c r="C1116" s="660" t="s">
        <v>126</v>
      </c>
      <c r="D1116" s="661"/>
      <c r="E1116" s="659" t="s">
        <v>149</v>
      </c>
      <c r="F1116" s="664" t="s">
        <v>76</v>
      </c>
      <c r="G1116" s="664">
        <v>0.7</v>
      </c>
      <c r="H1116" s="174">
        <f>VLOOKUP(C1116,'UPAH-BAHAN'!D:F,2,0)</f>
        <v>160000</v>
      </c>
      <c r="I1116" s="666">
        <f>H1116*G1116</f>
        <v>112000</v>
      </c>
    </row>
    <row r="1117" spans="1:10" outlineLevel="1">
      <c r="B1117" s="659"/>
      <c r="C1117" s="660" t="s">
        <v>99</v>
      </c>
      <c r="D1117" s="661"/>
      <c r="E1117" s="659" t="s">
        <v>150</v>
      </c>
      <c r="F1117" s="664" t="s">
        <v>76</v>
      </c>
      <c r="G1117" s="664">
        <v>7.0000000000000007E-2</v>
      </c>
      <c r="H1117" s="174">
        <f>VLOOKUP(C1117,'UPAH-BAHAN'!D:F,2,0)</f>
        <v>170000</v>
      </c>
      <c r="I1117" s="666">
        <f>H1117*G1117</f>
        <v>11900.000000000002</v>
      </c>
    </row>
    <row r="1118" spans="1:10" outlineLevel="1">
      <c r="B1118" s="659"/>
      <c r="C1118" s="660" t="s">
        <v>80</v>
      </c>
      <c r="D1118" s="661"/>
      <c r="E1118" s="659" t="s">
        <v>151</v>
      </c>
      <c r="F1118" s="664" t="s">
        <v>76</v>
      </c>
      <c r="G1118" s="664">
        <v>0.02</v>
      </c>
      <c r="H1118" s="174">
        <f>VLOOKUP(C1118,'UPAH-BAHAN'!D:F,2,0)</f>
        <v>225000</v>
      </c>
      <c r="I1118" s="666">
        <f>H1118*G1118</f>
        <v>4500</v>
      </c>
    </row>
    <row r="1119" spans="1:10" outlineLevel="1">
      <c r="B1119" s="659"/>
      <c r="C1119" s="660"/>
      <c r="D1119" s="661"/>
      <c r="E1119" s="688"/>
      <c r="F1119" s="662"/>
      <c r="G1119" s="709" t="s">
        <v>171</v>
      </c>
      <c r="H1119" s="666"/>
      <c r="I1119" s="666">
        <f>SUM(I1115:I1118)</f>
        <v>176400</v>
      </c>
    </row>
    <row r="1120" spans="1:10" outlineLevel="1">
      <c r="B1120" s="659" t="s">
        <v>153</v>
      </c>
      <c r="C1120" s="660" t="s">
        <v>154</v>
      </c>
      <c r="D1120" s="661"/>
      <c r="E1120" s="688"/>
      <c r="F1120" s="662"/>
      <c r="G1120" s="662"/>
      <c r="H1120" s="666"/>
      <c r="I1120" s="666"/>
    </row>
    <row r="1121" spans="1:10" outlineLevel="1">
      <c r="B1121" s="659"/>
      <c r="C1121" s="660" t="s">
        <v>128</v>
      </c>
      <c r="D1121" s="661"/>
      <c r="E1121" s="688"/>
      <c r="F1121" s="664" t="s">
        <v>69</v>
      </c>
      <c r="G1121" s="664">
        <v>0.3</v>
      </c>
      <c r="H1121" s="174">
        <f>VLOOKUP(C1121,'UPAH-BAHAN'!D:F,2,0)</f>
        <v>75000</v>
      </c>
      <c r="I1121" s="666">
        <f>H1121*G1121</f>
        <v>22500</v>
      </c>
    </row>
    <row r="1122" spans="1:10" outlineLevel="1">
      <c r="B1122" s="659"/>
      <c r="C1122" s="660" t="s">
        <v>129</v>
      </c>
      <c r="D1122" s="661"/>
      <c r="E1122" s="688"/>
      <c r="F1122" s="659" t="s">
        <v>69</v>
      </c>
      <c r="G1122" s="659">
        <v>0.01</v>
      </c>
      <c r="H1122" s="174">
        <f>VLOOKUP(C1122,'UPAH-BAHAN'!D:F,2,0)</f>
        <v>15000</v>
      </c>
      <c r="I1122" s="666">
        <f>H1122*G1122</f>
        <v>150</v>
      </c>
    </row>
    <row r="1123" spans="1:10" outlineLevel="1">
      <c r="B1123" s="659"/>
      <c r="C1123" s="660"/>
      <c r="D1123" s="661"/>
      <c r="E1123" s="688"/>
      <c r="F1123" s="662"/>
      <c r="G1123" s="709" t="s">
        <v>172</v>
      </c>
      <c r="H1123" s="666"/>
      <c r="I1123" s="666">
        <f>SUM(I1121:I1122)</f>
        <v>22650</v>
      </c>
    </row>
    <row r="1124" spans="1:10" outlineLevel="1">
      <c r="B1124" s="659" t="s">
        <v>157</v>
      </c>
      <c r="C1124" s="660" t="s">
        <v>158</v>
      </c>
      <c r="D1124" s="661"/>
      <c r="E1124" s="688"/>
      <c r="F1124" s="662"/>
      <c r="G1124" s="662"/>
      <c r="H1124" s="663"/>
      <c r="I1124" s="663"/>
    </row>
    <row r="1125" spans="1:10" outlineLevel="1">
      <c r="B1125" s="659"/>
      <c r="C1125" s="660"/>
      <c r="D1125" s="661"/>
      <c r="E1125" s="688"/>
      <c r="F1125" s="662"/>
      <c r="G1125" s="662"/>
      <c r="H1125" s="663"/>
      <c r="I1125" s="663"/>
    </row>
    <row r="1126" spans="1:10" outlineLevel="1">
      <c r="B1126" s="664"/>
      <c r="C1126" s="667"/>
      <c r="D1126" s="668"/>
      <c r="E1126" s="688"/>
      <c r="F1126" s="662"/>
      <c r="G1126" s="709" t="s">
        <v>159</v>
      </c>
      <c r="H1126" s="663"/>
      <c r="I1126" s="663">
        <f>I1125</f>
        <v>0</v>
      </c>
    </row>
    <row r="1127" spans="1:10" outlineLevel="1">
      <c r="B1127" s="662"/>
      <c r="C1127" s="669"/>
      <c r="D1127" s="670"/>
      <c r="E1127" s="688"/>
      <c r="F1127" s="662"/>
      <c r="G1127" s="662"/>
      <c r="H1127" s="663"/>
      <c r="I1127" s="663"/>
    </row>
    <row r="1128" spans="1:10" outlineLevel="1">
      <c r="B1128" s="659" t="s">
        <v>160</v>
      </c>
      <c r="C1128" s="660" t="s">
        <v>161</v>
      </c>
      <c r="D1128" s="661"/>
      <c r="E1128" s="673"/>
      <c r="F1128" s="663"/>
      <c r="G1128" s="664"/>
      <c r="H1128" s="663"/>
      <c r="I1128" s="666">
        <f>I1126+I1123+I1119</f>
        <v>199050</v>
      </c>
    </row>
    <row r="1129" spans="1:10" outlineLevel="1">
      <c r="B1129" s="659" t="s">
        <v>162</v>
      </c>
      <c r="C1129" s="660" t="s">
        <v>82</v>
      </c>
      <c r="D1129" s="661"/>
      <c r="E1129" s="752"/>
      <c r="F1129" s="671"/>
      <c r="G1129" s="672">
        <f>$J$3</f>
        <v>0.15</v>
      </c>
      <c r="H1129" s="673"/>
      <c r="I1129" s="674">
        <f>I1128*G1129</f>
        <v>29857.5</v>
      </c>
    </row>
    <row r="1130" spans="1:10" outlineLevel="1">
      <c r="B1130" s="659" t="s">
        <v>163</v>
      </c>
      <c r="C1130" s="660" t="s">
        <v>164</v>
      </c>
      <c r="D1130" s="661"/>
      <c r="E1130" s="673"/>
      <c r="F1130" s="663"/>
      <c r="G1130" s="664"/>
      <c r="H1130" s="663"/>
      <c r="I1130" s="666">
        <f>I1129+I1128</f>
        <v>228907.5</v>
      </c>
    </row>
    <row r="1131" spans="1:10" outlineLevel="1">
      <c r="B1131" s="184"/>
      <c r="D1131" s="186"/>
      <c r="E1131" s="186"/>
      <c r="F1131" s="280"/>
      <c r="G1131" s="718"/>
      <c r="H1131" s="280"/>
      <c r="I1131" s="331"/>
    </row>
    <row r="1132" spans="1:10" ht="15.6" customHeight="1">
      <c r="A1132" s="167" t="str">
        <f>B1132</f>
        <v>3.3.17.(c)</v>
      </c>
      <c r="B1132" s="287" t="s">
        <v>626</v>
      </c>
      <c r="D1132" s="167" t="s">
        <v>627</v>
      </c>
      <c r="E1132" s="167"/>
      <c r="F1132" s="167"/>
      <c r="G1132" s="163"/>
      <c r="H1132" s="167"/>
      <c r="I1132" s="167"/>
      <c r="J1132" s="172">
        <f>I1151</f>
        <v>64359.75</v>
      </c>
    </row>
    <row r="1133" spans="1:10" ht="31.2" outlineLevel="1">
      <c r="A1133" s="163"/>
      <c r="B1133" s="658" t="s">
        <v>75</v>
      </c>
      <c r="C1133" s="1249" t="s">
        <v>140</v>
      </c>
      <c r="D1133" s="1250"/>
      <c r="E1133" s="658" t="s">
        <v>141</v>
      </c>
      <c r="F1133" s="658" t="s">
        <v>142</v>
      </c>
      <c r="G1133" s="658" t="s">
        <v>143</v>
      </c>
      <c r="H1133" s="659" t="s">
        <v>144</v>
      </c>
      <c r="I1133" s="659" t="s">
        <v>145</v>
      </c>
      <c r="J1133" s="166"/>
    </row>
    <row r="1134" spans="1:10" outlineLevel="1">
      <c r="B1134" s="659" t="s">
        <v>146</v>
      </c>
      <c r="C1134" s="660" t="s">
        <v>147</v>
      </c>
      <c r="D1134" s="661"/>
      <c r="E1134" s="688"/>
      <c r="F1134" s="662"/>
      <c r="G1134" s="662"/>
      <c r="H1134" s="663"/>
      <c r="I1134" s="663"/>
    </row>
    <row r="1135" spans="1:10" outlineLevel="1">
      <c r="B1135" s="659"/>
      <c r="C1135" s="660" t="s">
        <v>77</v>
      </c>
      <c r="D1135" s="661"/>
      <c r="E1135" s="659" t="s">
        <v>148</v>
      </c>
      <c r="F1135" s="664" t="s">
        <v>76</v>
      </c>
      <c r="G1135" s="665">
        <v>0.06</v>
      </c>
      <c r="H1135" s="174">
        <f>VLOOKUP(C1135,'UPAH-BAHAN'!D:F,2,0)</f>
        <v>120000</v>
      </c>
      <c r="I1135" s="666">
        <f>H1135*G1135</f>
        <v>7200</v>
      </c>
    </row>
    <row r="1136" spans="1:10" outlineLevel="1">
      <c r="B1136" s="659"/>
      <c r="C1136" s="660" t="s">
        <v>126</v>
      </c>
      <c r="D1136" s="661"/>
      <c r="E1136" s="659" t="s">
        <v>149</v>
      </c>
      <c r="F1136" s="664" t="s">
        <v>76</v>
      </c>
      <c r="G1136" s="664">
        <v>0.06</v>
      </c>
      <c r="H1136" s="174">
        <f>VLOOKUP(C1136,'UPAH-BAHAN'!D:F,2,0)</f>
        <v>160000</v>
      </c>
      <c r="I1136" s="666">
        <f>H1136*G1136</f>
        <v>9600</v>
      </c>
    </row>
    <row r="1137" spans="2:9" outlineLevel="1">
      <c r="B1137" s="659"/>
      <c r="C1137" s="660" t="s">
        <v>99</v>
      </c>
      <c r="D1137" s="661"/>
      <c r="E1137" s="659" t="s">
        <v>150</v>
      </c>
      <c r="F1137" s="664" t="s">
        <v>76</v>
      </c>
      <c r="G1137" s="664">
        <v>1.2E-2</v>
      </c>
      <c r="H1137" s="174">
        <f>VLOOKUP(C1137,'UPAH-BAHAN'!D:F,2,0)</f>
        <v>170000</v>
      </c>
      <c r="I1137" s="666">
        <f>H1137*G1137</f>
        <v>2040</v>
      </c>
    </row>
    <row r="1138" spans="2:9" outlineLevel="1">
      <c r="B1138" s="659"/>
      <c r="C1138" s="660" t="s">
        <v>80</v>
      </c>
      <c r="D1138" s="661"/>
      <c r="E1138" s="659" t="s">
        <v>151</v>
      </c>
      <c r="F1138" s="664" t="s">
        <v>76</v>
      </c>
      <c r="G1138" s="664">
        <v>3.0000000000000001E-3</v>
      </c>
      <c r="H1138" s="174">
        <f>VLOOKUP(C1138,'UPAH-BAHAN'!D:F,2,0)</f>
        <v>225000</v>
      </c>
      <c r="I1138" s="666">
        <f>H1138*G1138</f>
        <v>675</v>
      </c>
    </row>
    <row r="1139" spans="2:9" outlineLevel="1">
      <c r="B1139" s="659"/>
      <c r="C1139" s="660"/>
      <c r="D1139" s="661"/>
      <c r="E1139" s="688"/>
      <c r="F1139" s="662"/>
      <c r="G1139" s="709" t="s">
        <v>171</v>
      </c>
      <c r="H1139" s="666"/>
      <c r="I1139" s="666">
        <f>SUM(I1135:I1138)</f>
        <v>19515</v>
      </c>
    </row>
    <row r="1140" spans="2:9" outlineLevel="1">
      <c r="B1140" s="659" t="s">
        <v>153</v>
      </c>
      <c r="C1140" s="660" t="s">
        <v>154</v>
      </c>
      <c r="D1140" s="661"/>
      <c r="E1140" s="688"/>
      <c r="F1140" s="662"/>
      <c r="G1140" s="662"/>
      <c r="H1140" s="666"/>
      <c r="I1140" s="666"/>
    </row>
    <row r="1141" spans="2:9" outlineLevel="1">
      <c r="B1141" s="659"/>
      <c r="C1141" s="660" t="s">
        <v>201</v>
      </c>
      <c r="D1141" s="661"/>
      <c r="E1141" s="688"/>
      <c r="F1141" s="664" t="s">
        <v>69</v>
      </c>
      <c r="G1141" s="664">
        <v>0.3</v>
      </c>
      <c r="H1141" s="174">
        <f>VLOOKUP(C1141,'UPAH-BAHAN'!D:F,2,0)</f>
        <v>120000</v>
      </c>
      <c r="I1141" s="666">
        <f>H1141*G1141</f>
        <v>36000</v>
      </c>
    </row>
    <row r="1142" spans="2:9" outlineLevel="1">
      <c r="B1142" s="659"/>
      <c r="C1142" s="660" t="s">
        <v>202</v>
      </c>
      <c r="D1142" s="661"/>
      <c r="E1142" s="688"/>
      <c r="F1142" s="659" t="s">
        <v>23</v>
      </c>
      <c r="G1142" s="659">
        <v>0.01</v>
      </c>
      <c r="H1142" s="174">
        <f>VLOOKUP(C1142,'UPAH-BAHAN'!D:F,2,0)</f>
        <v>30000</v>
      </c>
      <c r="I1142" s="666">
        <f>H1142*G1142</f>
        <v>300</v>
      </c>
    </row>
    <row r="1143" spans="2:9" outlineLevel="1">
      <c r="B1143" s="659"/>
      <c r="C1143" s="660" t="s">
        <v>129</v>
      </c>
      <c r="D1143" s="661"/>
      <c r="E1143" s="688"/>
      <c r="F1143" s="659" t="s">
        <v>69</v>
      </c>
      <c r="G1143" s="659">
        <v>0.01</v>
      </c>
      <c r="H1143" s="174">
        <f>VLOOKUP(C1143,'UPAH-BAHAN'!D:F,2,0)</f>
        <v>15000</v>
      </c>
      <c r="I1143" s="666">
        <f>H1143*G1143</f>
        <v>150</v>
      </c>
    </row>
    <row r="1144" spans="2:9" outlineLevel="1">
      <c r="B1144" s="659"/>
      <c r="C1144" s="660"/>
      <c r="D1144" s="661"/>
      <c r="E1144" s="688"/>
      <c r="F1144" s="662"/>
      <c r="G1144" s="709" t="s">
        <v>172</v>
      </c>
      <c r="H1144" s="666"/>
      <c r="I1144" s="666">
        <f>SUM(I1141:I1143)</f>
        <v>36450</v>
      </c>
    </row>
    <row r="1145" spans="2:9" outlineLevel="1">
      <c r="B1145" s="659" t="s">
        <v>157</v>
      </c>
      <c r="C1145" s="660" t="s">
        <v>158</v>
      </c>
      <c r="D1145" s="661"/>
      <c r="E1145" s="688"/>
      <c r="F1145" s="662"/>
      <c r="G1145" s="662"/>
      <c r="H1145" s="663"/>
      <c r="I1145" s="663"/>
    </row>
    <row r="1146" spans="2:9" outlineLevel="1">
      <c r="B1146" s="659"/>
      <c r="C1146" s="660"/>
      <c r="D1146" s="661"/>
      <c r="E1146" s="688"/>
      <c r="F1146" s="662"/>
      <c r="G1146" s="662"/>
      <c r="H1146" s="663"/>
      <c r="I1146" s="663"/>
    </row>
    <row r="1147" spans="2:9" outlineLevel="1">
      <c r="B1147" s="664"/>
      <c r="C1147" s="667"/>
      <c r="D1147" s="668"/>
      <c r="E1147" s="688"/>
      <c r="F1147" s="662"/>
      <c r="G1147" s="709" t="s">
        <v>159</v>
      </c>
      <c r="H1147" s="663"/>
      <c r="I1147" s="663">
        <f>I1146</f>
        <v>0</v>
      </c>
    </row>
    <row r="1148" spans="2:9" outlineLevel="1">
      <c r="B1148" s="662"/>
      <c r="C1148" s="669"/>
      <c r="D1148" s="670"/>
      <c r="E1148" s="688"/>
      <c r="F1148" s="662"/>
      <c r="G1148" s="662"/>
      <c r="H1148" s="663"/>
      <c r="I1148" s="663"/>
    </row>
    <row r="1149" spans="2:9" outlineLevel="1">
      <c r="B1149" s="659" t="s">
        <v>160</v>
      </c>
      <c r="C1149" s="660" t="s">
        <v>161</v>
      </c>
      <c r="D1149" s="661"/>
      <c r="E1149" s="673"/>
      <c r="F1149" s="663"/>
      <c r="G1149" s="664"/>
      <c r="H1149" s="663"/>
      <c r="I1149" s="666">
        <f>I1147+I1144+I1139</f>
        <v>55965</v>
      </c>
    </row>
    <row r="1150" spans="2:9" outlineLevel="1">
      <c r="B1150" s="659" t="s">
        <v>162</v>
      </c>
      <c r="C1150" s="660" t="s">
        <v>82</v>
      </c>
      <c r="D1150" s="661"/>
      <c r="E1150" s="752"/>
      <c r="F1150" s="671"/>
      <c r="G1150" s="672">
        <f>$J$3</f>
        <v>0.15</v>
      </c>
      <c r="H1150" s="673"/>
      <c r="I1150" s="674">
        <f>I1149*G1150</f>
        <v>8394.75</v>
      </c>
    </row>
    <row r="1151" spans="2:9" outlineLevel="1">
      <c r="B1151" s="659" t="s">
        <v>163</v>
      </c>
      <c r="C1151" s="660" t="s">
        <v>164</v>
      </c>
      <c r="D1151" s="661"/>
      <c r="E1151" s="673"/>
      <c r="F1151" s="663"/>
      <c r="G1151" s="664"/>
      <c r="H1151" s="663"/>
      <c r="I1151" s="666">
        <f>I1150+I1149</f>
        <v>64359.75</v>
      </c>
    </row>
    <row r="1152" spans="2:9" outlineLevel="1">
      <c r="B1152" s="184"/>
      <c r="D1152" s="186"/>
      <c r="E1152" s="186"/>
      <c r="F1152" s="280"/>
      <c r="G1152" s="718"/>
      <c r="H1152" s="280"/>
      <c r="I1152" s="331"/>
    </row>
    <row r="1153" spans="1:13" s="46" customFormat="1">
      <c r="A1153" s="3" t="str">
        <f>B1153</f>
        <v>Hit.Epoxy.01</v>
      </c>
      <c r="B1153" s="487" t="s">
        <v>807</v>
      </c>
      <c r="C1153" s="3"/>
      <c r="D1153" s="3" t="s">
        <v>598</v>
      </c>
      <c r="E1153" s="12"/>
      <c r="F1153" s="12"/>
      <c r="G1153" s="12"/>
      <c r="H1153" s="624"/>
      <c r="I1153" s="2"/>
      <c r="J1153" s="273">
        <f>I1174</f>
        <v>326007.75</v>
      </c>
      <c r="K1153" s="46" t="e">
        <f>VLOOKUP(A1153,'[74]REKAP ANL'!B:D,1,0)</f>
        <v>#N/A</v>
      </c>
      <c r="L1153" s="756"/>
    </row>
    <row r="1154" spans="1:13" s="46" customFormat="1" ht="31.2" outlineLevel="1">
      <c r="A1154" s="13"/>
      <c r="B1154" s="489" t="s">
        <v>75</v>
      </c>
      <c r="C1154" s="1256" t="s">
        <v>140</v>
      </c>
      <c r="D1154" s="1257"/>
      <c r="E1154" s="490" t="s">
        <v>141</v>
      </c>
      <c r="F1154" s="490" t="s">
        <v>142</v>
      </c>
      <c r="G1154" s="490" t="s">
        <v>143</v>
      </c>
      <c r="H1154" s="482" t="s">
        <v>144</v>
      </c>
      <c r="I1154" s="482" t="s">
        <v>145</v>
      </c>
      <c r="J1154" s="625"/>
      <c r="K1154" s="626" t="e">
        <f>VLOOKUP(B1154,'[75]REKAP ANL'!B:F,5,0)</f>
        <v>#N/A</v>
      </c>
      <c r="L1154" s="756"/>
    </row>
    <row r="1155" spans="1:13" s="46" customFormat="1" outlineLevel="1">
      <c r="A1155" s="3"/>
      <c r="B1155" s="491" t="s">
        <v>146</v>
      </c>
      <c r="C1155" s="480" t="s">
        <v>147</v>
      </c>
      <c r="D1155" s="481"/>
      <c r="E1155" s="484"/>
      <c r="F1155" s="627"/>
      <c r="G1155" s="627"/>
      <c r="H1155" s="628"/>
      <c r="I1155" s="628"/>
      <c r="J1155" s="273"/>
      <c r="K1155" s="626" t="e">
        <f>VLOOKUP(B1155,'[75]REKAP ANL'!B:F,5,0)</f>
        <v>#N/A</v>
      </c>
      <c r="L1155" s="756"/>
    </row>
    <row r="1156" spans="1:13" s="46" customFormat="1" outlineLevel="1">
      <c r="A1156" s="3"/>
      <c r="B1156" s="491"/>
      <c r="C1156" s="480" t="s">
        <v>77</v>
      </c>
      <c r="D1156" s="481"/>
      <c r="E1156" s="482" t="s">
        <v>148</v>
      </c>
      <c r="F1156" s="629" t="s">
        <v>76</v>
      </c>
      <c r="G1156" s="630">
        <v>0.22500000000000001</v>
      </c>
      <c r="H1156" s="174">
        <f>VLOOKUP(C1156,'UPAH-BAHAN'!D:F,2,0)</f>
        <v>120000</v>
      </c>
      <c r="I1156" s="631">
        <f>H1156*G1156</f>
        <v>27000</v>
      </c>
      <c r="J1156" s="273"/>
      <c r="K1156" s="626" t="e">
        <f>VLOOKUP(B1156,'[75]REKAP ANL'!B:F,5,0)</f>
        <v>#REF!</v>
      </c>
      <c r="L1156" s="630">
        <f t="shared" ref="L1156:L1159" si="8">G1179</f>
        <v>0.45</v>
      </c>
      <c r="M1156" s="46">
        <f>L1156/2</f>
        <v>0.22500000000000001</v>
      </c>
    </row>
    <row r="1157" spans="1:13" s="46" customFormat="1" outlineLevel="1">
      <c r="A1157" s="3"/>
      <c r="B1157" s="491"/>
      <c r="C1157" s="480" t="s">
        <v>126</v>
      </c>
      <c r="D1157" s="481"/>
      <c r="E1157" s="482" t="s">
        <v>149</v>
      </c>
      <c r="F1157" s="629" t="s">
        <v>76</v>
      </c>
      <c r="G1157" s="630">
        <v>0.16400000000000001</v>
      </c>
      <c r="H1157" s="174">
        <f>VLOOKUP(C1157,'UPAH-BAHAN'!D:F,2,0)</f>
        <v>160000</v>
      </c>
      <c r="I1157" s="631">
        <f>H1157*G1157</f>
        <v>26240</v>
      </c>
      <c r="J1157" s="273"/>
      <c r="K1157" s="626" t="e">
        <f>VLOOKUP(B1157,'[75]REKAP ANL'!B:F,5,0)</f>
        <v>#REF!</v>
      </c>
      <c r="L1157" s="630">
        <f t="shared" si="8"/>
        <v>0.32800000000000001</v>
      </c>
      <c r="M1157" s="46">
        <f t="shared" ref="M1157:M1159" si="9">L1157/2</f>
        <v>0.16400000000000001</v>
      </c>
    </row>
    <row r="1158" spans="1:13" s="46" customFormat="1" outlineLevel="1">
      <c r="A1158" s="3"/>
      <c r="B1158" s="491"/>
      <c r="C1158" s="480" t="s">
        <v>99</v>
      </c>
      <c r="D1158" s="481"/>
      <c r="E1158" s="482" t="s">
        <v>150</v>
      </c>
      <c r="F1158" s="629" t="s">
        <v>76</v>
      </c>
      <c r="G1158" s="629">
        <v>2.1000000000000001E-2</v>
      </c>
      <c r="H1158" s="174">
        <f>VLOOKUP(C1158,'UPAH-BAHAN'!D:F,2,0)</f>
        <v>170000</v>
      </c>
      <c r="I1158" s="631">
        <f>H1158*G1158</f>
        <v>3570</v>
      </c>
      <c r="J1158" s="273"/>
      <c r="K1158" s="626" t="e">
        <f>VLOOKUP(B1158,'[75]REKAP ANL'!B:F,5,0)</f>
        <v>#REF!</v>
      </c>
      <c r="L1158" s="630">
        <f t="shared" si="8"/>
        <v>4.2000000000000003E-2</v>
      </c>
      <c r="M1158" s="46">
        <f t="shared" si="9"/>
        <v>2.1000000000000001E-2</v>
      </c>
    </row>
    <row r="1159" spans="1:13" s="46" customFormat="1" outlineLevel="1">
      <c r="A1159" s="3"/>
      <c r="B1159" s="491"/>
      <c r="C1159" s="480" t="s">
        <v>80</v>
      </c>
      <c r="D1159" s="481"/>
      <c r="E1159" s="482" t="s">
        <v>151</v>
      </c>
      <c r="F1159" s="629" t="s">
        <v>76</v>
      </c>
      <c r="G1159" s="629">
        <v>2.5000000000000001E-2</v>
      </c>
      <c r="H1159" s="174">
        <f>VLOOKUP(C1159,'UPAH-BAHAN'!D:F,2,0)</f>
        <v>225000</v>
      </c>
      <c r="I1159" s="631">
        <f>H1159*G1159</f>
        <v>5625</v>
      </c>
      <c r="J1159" s="273"/>
      <c r="K1159" s="626" t="e">
        <f>VLOOKUP(B1159,'[75]REKAP ANL'!B:F,5,0)</f>
        <v>#REF!</v>
      </c>
      <c r="L1159" s="630">
        <f t="shared" si="8"/>
        <v>0.05</v>
      </c>
      <c r="M1159" s="46">
        <f t="shared" si="9"/>
        <v>2.5000000000000001E-2</v>
      </c>
    </row>
    <row r="1160" spans="1:13" s="46" customFormat="1" outlineLevel="1">
      <c r="A1160" s="3"/>
      <c r="B1160" s="491"/>
      <c r="C1160" s="480"/>
      <c r="D1160" s="481"/>
      <c r="E1160" s="484"/>
      <c r="F1160" s="627"/>
      <c r="G1160" s="708" t="s">
        <v>171</v>
      </c>
      <c r="H1160" s="631"/>
      <c r="I1160" s="631">
        <f>SUM(I1156:I1159)</f>
        <v>62435</v>
      </c>
      <c r="J1160" s="273"/>
      <c r="K1160" s="626" t="e">
        <f>VLOOKUP(B1160,'[75]REKAP ANL'!B:F,5,0)</f>
        <v>#REF!</v>
      </c>
      <c r="L1160" s="756"/>
    </row>
    <row r="1161" spans="1:13" s="46" customFormat="1" outlineLevel="1">
      <c r="A1161" s="3"/>
      <c r="B1161" s="491" t="s">
        <v>153</v>
      </c>
      <c r="C1161" s="480" t="s">
        <v>154</v>
      </c>
      <c r="D1161" s="481"/>
      <c r="E1161" s="484"/>
      <c r="F1161" s="627"/>
      <c r="G1161" s="627"/>
      <c r="H1161" s="631"/>
      <c r="I1161" s="631"/>
      <c r="J1161" s="273"/>
      <c r="K1161" s="626" t="e">
        <f>VLOOKUP(B1161,'[75]REKAP ANL'!B:F,5,0)</f>
        <v>#N/A</v>
      </c>
      <c r="L1161" s="756"/>
    </row>
    <row r="1162" spans="1:13" s="46" customFormat="1" outlineLevel="1">
      <c r="A1162" s="3"/>
      <c r="B1162" s="491"/>
      <c r="C1162" s="480" t="s">
        <v>599</v>
      </c>
      <c r="D1162" s="481"/>
      <c r="E1162" s="484"/>
      <c r="F1162" s="629" t="s">
        <v>69</v>
      </c>
      <c r="G1162" s="630">
        <v>0.36</v>
      </c>
      <c r="H1162" s="174">
        <f>VLOOKUP(C1162,'UPAH-BAHAN'!D:F,2,0)</f>
        <v>245000</v>
      </c>
      <c r="I1162" s="631">
        <f>H1162*G1162</f>
        <v>88200</v>
      </c>
      <c r="J1162" s="273"/>
      <c r="K1162" s="626" t="e">
        <f>VLOOKUP(B1162,'[75]REKAP ANL'!B:F,5,0)</f>
        <v>#REF!</v>
      </c>
      <c r="L1162" s="756"/>
    </row>
    <row r="1163" spans="1:13" s="46" customFormat="1" outlineLevel="1">
      <c r="A1163" s="3"/>
      <c r="B1163" s="491"/>
      <c r="C1163" s="480" t="s">
        <v>600</v>
      </c>
      <c r="D1163" s="481"/>
      <c r="E1163" s="484"/>
      <c r="F1163" s="629" t="s">
        <v>69</v>
      </c>
      <c r="G1163" s="630">
        <v>0.36</v>
      </c>
      <c r="H1163" s="174">
        <f>VLOOKUP(C1163,'UPAH-BAHAN'!D:F,2,0)</f>
        <v>195000</v>
      </c>
      <c r="I1163" s="631">
        <f>H1163*G1163</f>
        <v>70200</v>
      </c>
      <c r="J1163" s="273"/>
      <c r="K1163" s="626" t="e">
        <f>VLOOKUP(B1163,'[75]REKAP ANL'!B:F,5,0)</f>
        <v>#REF!</v>
      </c>
      <c r="L1163" s="756"/>
    </row>
    <row r="1164" spans="1:13" s="46" customFormat="1" outlineLevel="1">
      <c r="A1164" s="3"/>
      <c r="B1164" s="491"/>
      <c r="C1164" s="480" t="s">
        <v>601</v>
      </c>
      <c r="D1164" s="481"/>
      <c r="E1164" s="484"/>
      <c r="F1164" s="629" t="s">
        <v>69</v>
      </c>
      <c r="G1164" s="630">
        <v>0.18</v>
      </c>
      <c r="H1164" s="174">
        <f>VLOOKUP(C1164,'UPAH-BAHAN'!D:F,2,0)</f>
        <v>130000</v>
      </c>
      <c r="I1164" s="631">
        <f>H1164*G1164</f>
        <v>23400</v>
      </c>
      <c r="J1164" s="273"/>
      <c r="K1164" s="626" t="e">
        <f>VLOOKUP(B1164,'[75]REKAP ANL'!B:F,5,0)</f>
        <v>#REF!</v>
      </c>
      <c r="L1164" s="756"/>
    </row>
    <row r="1165" spans="1:13" s="46" customFormat="1" outlineLevel="1">
      <c r="A1165" s="3"/>
      <c r="B1165" s="491"/>
      <c r="C1165" s="480" t="s">
        <v>602</v>
      </c>
      <c r="D1165" s="481"/>
      <c r="E1165" s="484"/>
      <c r="F1165" s="629" t="s">
        <v>92</v>
      </c>
      <c r="G1165" s="630">
        <v>0.25</v>
      </c>
      <c r="H1165" s="174">
        <f>VLOOKUP(C1165,'UPAH-BAHAN'!D:F,2,0)</f>
        <v>25000</v>
      </c>
      <c r="I1165" s="631">
        <f>H1165*G1165</f>
        <v>6250</v>
      </c>
      <c r="J1165" s="273"/>
      <c r="K1165" s="626" t="e">
        <f>VLOOKUP(B1165,'[75]REKAP ANL'!B:F,5,0)</f>
        <v>#REF!</v>
      </c>
      <c r="L1165" s="756"/>
    </row>
    <row r="1166" spans="1:13" s="46" customFormat="1" outlineLevel="1">
      <c r="A1166" s="3"/>
      <c r="B1166" s="491"/>
      <c r="C1166" s="480" t="s">
        <v>603</v>
      </c>
      <c r="D1166" s="481"/>
      <c r="E1166" s="484"/>
      <c r="F1166" s="482" t="s">
        <v>604</v>
      </c>
      <c r="G1166" s="630">
        <v>1.1000000000000001</v>
      </c>
      <c r="H1166" s="174">
        <v>30000</v>
      </c>
      <c r="I1166" s="631">
        <f>H1166*G1166</f>
        <v>33000</v>
      </c>
      <c r="J1166" s="273"/>
      <c r="K1166" s="626" t="e">
        <f>VLOOKUP(B1166,'[75]REKAP ANL'!B:F,5,0)</f>
        <v>#REF!</v>
      </c>
      <c r="L1166" s="756"/>
    </row>
    <row r="1167" spans="1:13" s="46" customFormat="1" outlineLevel="1">
      <c r="A1167" s="3"/>
      <c r="B1167" s="491"/>
      <c r="C1167" s="480"/>
      <c r="D1167" s="481"/>
      <c r="E1167" s="484"/>
      <c r="F1167" s="627"/>
      <c r="G1167" s="708" t="s">
        <v>172</v>
      </c>
      <c r="H1167" s="631"/>
      <c r="I1167" s="631">
        <f>SUM(I1162:I1166)</f>
        <v>221050</v>
      </c>
      <c r="J1167" s="273"/>
      <c r="K1167" s="626" t="e">
        <f>VLOOKUP(B1167,'[75]REKAP ANL'!B:F,5,0)</f>
        <v>#REF!</v>
      </c>
      <c r="L1167" s="756"/>
    </row>
    <row r="1168" spans="1:13" s="46" customFormat="1" outlineLevel="1">
      <c r="A1168" s="3"/>
      <c r="B1168" s="491" t="s">
        <v>157</v>
      </c>
      <c r="C1168" s="480" t="s">
        <v>158</v>
      </c>
      <c r="D1168" s="481"/>
      <c r="E1168" s="484"/>
      <c r="F1168" s="627"/>
      <c r="G1168" s="627"/>
      <c r="H1168" s="628"/>
      <c r="I1168" s="628"/>
      <c r="J1168" s="273"/>
      <c r="K1168" s="626" t="e">
        <f>VLOOKUP(B1168,'[75]REKAP ANL'!B:F,5,0)</f>
        <v>#N/A</v>
      </c>
      <c r="L1168" s="756"/>
    </row>
    <row r="1169" spans="1:13" s="46" customFormat="1" outlineLevel="1">
      <c r="A1169" s="3"/>
      <c r="B1169" s="491"/>
      <c r="C1169" s="480"/>
      <c r="D1169" s="481"/>
      <c r="E1169" s="484"/>
      <c r="F1169" s="627"/>
      <c r="G1169" s="627"/>
      <c r="H1169" s="628"/>
      <c r="I1169" s="628"/>
      <c r="J1169" s="273"/>
      <c r="K1169" s="626" t="e">
        <f>VLOOKUP(B1169,'[75]REKAP ANL'!B:F,5,0)</f>
        <v>#REF!</v>
      </c>
      <c r="L1169" s="756"/>
    </row>
    <row r="1170" spans="1:13" s="46" customFormat="1" outlineLevel="1">
      <c r="A1170" s="3"/>
      <c r="B1170" s="632"/>
      <c r="C1170" s="633"/>
      <c r="D1170" s="634"/>
      <c r="E1170" s="484"/>
      <c r="F1170" s="627"/>
      <c r="G1170" s="708" t="s">
        <v>159</v>
      </c>
      <c r="H1170" s="628"/>
      <c r="I1170" s="177">
        <f>I1169</f>
        <v>0</v>
      </c>
      <c r="J1170" s="273"/>
      <c r="K1170" s="626" t="e">
        <f>VLOOKUP(B1170,'[75]REKAP ANL'!B:F,5,0)</f>
        <v>#REF!</v>
      </c>
      <c r="L1170" s="756"/>
    </row>
    <row r="1171" spans="1:13" s="46" customFormat="1" outlineLevel="1">
      <c r="A1171" s="3"/>
      <c r="B1171" s="635"/>
      <c r="C1171" s="636"/>
      <c r="D1171" s="637"/>
      <c r="E1171" s="484"/>
      <c r="F1171" s="627"/>
      <c r="G1171" s="627"/>
      <c r="H1171" s="628"/>
      <c r="I1171" s="628"/>
      <c r="J1171" s="273"/>
      <c r="K1171" s="626" t="e">
        <f>VLOOKUP(B1171,'[75]REKAP ANL'!B:F,5,0)</f>
        <v>#REF!</v>
      </c>
      <c r="L1171" s="756"/>
    </row>
    <row r="1172" spans="1:13" s="46" customFormat="1" outlineLevel="1">
      <c r="A1172" s="3"/>
      <c r="B1172" s="491" t="s">
        <v>160</v>
      </c>
      <c r="C1172" s="480" t="s">
        <v>161</v>
      </c>
      <c r="D1172" s="481"/>
      <c r="E1172" s="492"/>
      <c r="F1172" s="628"/>
      <c r="G1172" s="629"/>
      <c r="H1172" s="628"/>
      <c r="I1172" s="631">
        <f>I1170+I1167+I1160</f>
        <v>283485</v>
      </c>
      <c r="J1172" s="273"/>
      <c r="K1172" s="626" t="e">
        <f>VLOOKUP(B1172,'[75]REKAP ANL'!B:F,5,0)</f>
        <v>#N/A</v>
      </c>
      <c r="L1172" s="756"/>
    </row>
    <row r="1173" spans="1:13" s="46" customFormat="1" outlineLevel="1">
      <c r="A1173" s="3"/>
      <c r="B1173" s="491" t="s">
        <v>162</v>
      </c>
      <c r="C1173" s="480" t="s">
        <v>82</v>
      </c>
      <c r="D1173" s="481"/>
      <c r="E1173" s="747"/>
      <c r="F1173" s="497"/>
      <c r="G1173" s="638">
        <f>$J$3</f>
        <v>0.15</v>
      </c>
      <c r="H1173" s="492"/>
      <c r="I1173" s="493">
        <f>I1172*G1173</f>
        <v>42522.75</v>
      </c>
      <c r="J1173" s="273"/>
      <c r="K1173" s="626" t="e">
        <f>VLOOKUP(B1173,'[75]REKAP ANL'!B:F,5,0)</f>
        <v>#N/A</v>
      </c>
      <c r="L1173" s="756"/>
    </row>
    <row r="1174" spans="1:13" s="46" customFormat="1" outlineLevel="1">
      <c r="A1174" s="3"/>
      <c r="B1174" s="491" t="s">
        <v>163</v>
      </c>
      <c r="C1174" s="480" t="s">
        <v>164</v>
      </c>
      <c r="D1174" s="481"/>
      <c r="E1174" s="492"/>
      <c r="F1174" s="628"/>
      <c r="G1174" s="629"/>
      <c r="H1174" s="628"/>
      <c r="I1174" s="631">
        <f>I1173+I1172</f>
        <v>326007.75</v>
      </c>
      <c r="J1174" s="273"/>
      <c r="K1174" s="626" t="e">
        <f>VLOOKUP(B1174,'[75]REKAP ANL'!B:F,5,0)</f>
        <v>#N/A</v>
      </c>
      <c r="L1174" s="756"/>
    </row>
    <row r="1175" spans="1:13" outlineLevel="1">
      <c r="B1175" s="184"/>
      <c r="D1175" s="186"/>
      <c r="E1175" s="186"/>
      <c r="F1175" s="186"/>
      <c r="G1175" s="184"/>
      <c r="H1175" s="307"/>
      <c r="I1175" s="307"/>
    </row>
    <row r="1176" spans="1:13" s="46" customFormat="1">
      <c r="A1176" s="3" t="str">
        <f>B1176</f>
        <v>Hit.Epoxy.02</v>
      </c>
      <c r="B1176" s="487" t="s">
        <v>808</v>
      </c>
      <c r="C1176" s="3"/>
      <c r="D1176" s="3" t="s">
        <v>711</v>
      </c>
      <c r="E1176" s="12"/>
      <c r="F1176" s="12"/>
      <c r="G1176" s="12"/>
      <c r="H1176" s="624"/>
      <c r="I1176" s="2"/>
      <c r="J1176" s="273">
        <f>I1197</f>
        <v>652015.5</v>
      </c>
      <c r="K1176" s="46" t="e">
        <f>VLOOKUP(A1176,'[74]REKAP ANL'!B:D,1,0)</f>
        <v>#N/A</v>
      </c>
      <c r="L1176" s="756"/>
    </row>
    <row r="1177" spans="1:13" s="46" customFormat="1" ht="31.2" outlineLevel="1">
      <c r="A1177" s="13"/>
      <c r="B1177" s="489" t="s">
        <v>75</v>
      </c>
      <c r="C1177" s="1256" t="s">
        <v>140</v>
      </c>
      <c r="D1177" s="1257"/>
      <c r="E1177" s="490" t="s">
        <v>141</v>
      </c>
      <c r="F1177" s="490" t="s">
        <v>142</v>
      </c>
      <c r="G1177" s="490" t="s">
        <v>143</v>
      </c>
      <c r="H1177" s="482" t="s">
        <v>144</v>
      </c>
      <c r="I1177" s="482" t="s">
        <v>145</v>
      </c>
      <c r="J1177" s="625"/>
      <c r="K1177" s="626" t="e">
        <f>VLOOKUP(B1177,'[75]REKAP ANL'!B:F,5,0)</f>
        <v>#N/A</v>
      </c>
      <c r="L1177" s="756"/>
    </row>
    <row r="1178" spans="1:13" s="46" customFormat="1" outlineLevel="1">
      <c r="A1178" s="3"/>
      <c r="B1178" s="491" t="s">
        <v>146</v>
      </c>
      <c r="C1178" s="480" t="s">
        <v>147</v>
      </c>
      <c r="D1178" s="481"/>
      <c r="E1178" s="484"/>
      <c r="F1178" s="627"/>
      <c r="G1178" s="627"/>
      <c r="H1178" s="628"/>
      <c r="I1178" s="628"/>
      <c r="J1178" s="273"/>
      <c r="K1178" s="626" t="e">
        <f>VLOOKUP(B1178,'[75]REKAP ANL'!B:F,5,0)</f>
        <v>#N/A</v>
      </c>
      <c r="L1178" s="756"/>
    </row>
    <row r="1179" spans="1:13" s="46" customFormat="1" outlineLevel="1">
      <c r="A1179" s="3"/>
      <c r="B1179" s="491"/>
      <c r="C1179" s="480" t="s">
        <v>77</v>
      </c>
      <c r="D1179" s="481"/>
      <c r="E1179" s="482" t="s">
        <v>148</v>
      </c>
      <c r="F1179" s="629" t="s">
        <v>76</v>
      </c>
      <c r="G1179" s="630">
        <v>0.45</v>
      </c>
      <c r="H1179" s="174">
        <f>VLOOKUP(C1179,'UPAH-BAHAN'!D:F,2,0)</f>
        <v>120000</v>
      </c>
      <c r="I1179" s="631">
        <f>H1179*G1179</f>
        <v>54000</v>
      </c>
      <c r="J1179" s="273"/>
      <c r="K1179" s="626" t="e">
        <f>VLOOKUP(B1179,'[75]REKAP ANL'!B:F,5,0)</f>
        <v>#REF!</v>
      </c>
      <c r="L1179" s="756">
        <f>G1179*2</f>
        <v>0.9</v>
      </c>
      <c r="M1179" s="46">
        <v>0.09</v>
      </c>
    </row>
    <row r="1180" spans="1:13" s="46" customFormat="1" outlineLevel="1">
      <c r="A1180" s="3"/>
      <c r="B1180" s="491"/>
      <c r="C1180" s="480" t="s">
        <v>126</v>
      </c>
      <c r="D1180" s="481"/>
      <c r="E1180" s="482" t="s">
        <v>149</v>
      </c>
      <c r="F1180" s="629" t="s">
        <v>76</v>
      </c>
      <c r="G1180" s="629">
        <v>0.32800000000000001</v>
      </c>
      <c r="H1180" s="174">
        <f>VLOOKUP(C1180,'UPAH-BAHAN'!D:F,2,0)</f>
        <v>160000</v>
      </c>
      <c r="I1180" s="631">
        <f>H1180*G1180</f>
        <v>52480</v>
      </c>
      <c r="J1180" s="273"/>
      <c r="K1180" s="626" t="e">
        <f>VLOOKUP(B1180,'[75]REKAP ANL'!B:F,5,0)</f>
        <v>#REF!</v>
      </c>
      <c r="L1180" s="756">
        <f t="shared" ref="L1180:L1189" si="10">G1180*2</f>
        <v>0.65600000000000003</v>
      </c>
      <c r="M1180" s="46">
        <v>0.126</v>
      </c>
    </row>
    <row r="1181" spans="1:13" s="46" customFormat="1" outlineLevel="1">
      <c r="A1181" s="3"/>
      <c r="B1181" s="491"/>
      <c r="C1181" s="480" t="s">
        <v>99</v>
      </c>
      <c r="D1181" s="481"/>
      <c r="E1181" s="482" t="s">
        <v>150</v>
      </c>
      <c r="F1181" s="629" t="s">
        <v>76</v>
      </c>
      <c r="G1181" s="629">
        <v>4.2000000000000003E-2</v>
      </c>
      <c r="H1181" s="174">
        <f>VLOOKUP(C1181,'UPAH-BAHAN'!D:F,2,0)</f>
        <v>170000</v>
      </c>
      <c r="I1181" s="631">
        <f>H1181*G1181</f>
        <v>7140</v>
      </c>
      <c r="J1181" s="273"/>
      <c r="K1181" s="626" t="e">
        <f>VLOOKUP(B1181,'[75]REKAP ANL'!B:F,5,0)</f>
        <v>#REF!</v>
      </c>
      <c r="L1181" s="756">
        <f t="shared" si="10"/>
        <v>8.4000000000000005E-2</v>
      </c>
      <c r="M1181" s="46">
        <v>1.2E-2</v>
      </c>
    </row>
    <row r="1182" spans="1:13" s="46" customFormat="1" outlineLevel="1">
      <c r="A1182" s="3"/>
      <c r="B1182" s="491"/>
      <c r="C1182" s="480" t="s">
        <v>80</v>
      </c>
      <c r="D1182" s="481"/>
      <c r="E1182" s="482" t="s">
        <v>151</v>
      </c>
      <c r="F1182" s="629" t="s">
        <v>76</v>
      </c>
      <c r="G1182" s="629">
        <v>0.05</v>
      </c>
      <c r="H1182" s="174">
        <f>VLOOKUP(C1182,'UPAH-BAHAN'!D:F,2,0)</f>
        <v>225000</v>
      </c>
      <c r="I1182" s="631">
        <f>H1182*G1182</f>
        <v>11250</v>
      </c>
      <c r="J1182" s="273"/>
      <c r="K1182" s="626" t="e">
        <f>VLOOKUP(B1182,'[75]REKAP ANL'!B:F,5,0)</f>
        <v>#REF!</v>
      </c>
      <c r="L1182" s="756">
        <f t="shared" si="10"/>
        <v>0.1</v>
      </c>
      <c r="M1182" s="46">
        <v>6.0000000000000001E-3</v>
      </c>
    </row>
    <row r="1183" spans="1:13" s="46" customFormat="1" outlineLevel="1">
      <c r="A1183" s="3"/>
      <c r="B1183" s="491"/>
      <c r="C1183" s="480"/>
      <c r="D1183" s="481"/>
      <c r="E1183" s="484"/>
      <c r="F1183" s="627"/>
      <c r="G1183" s="708" t="s">
        <v>171</v>
      </c>
      <c r="H1183" s="631"/>
      <c r="I1183" s="631">
        <f>SUM(I1179:I1182)</f>
        <v>124870</v>
      </c>
      <c r="J1183" s="273"/>
      <c r="K1183" s="626" t="e">
        <f>VLOOKUP(B1183,'[75]REKAP ANL'!B:F,5,0)</f>
        <v>#REF!</v>
      </c>
      <c r="L1183" s="756" t="e">
        <f t="shared" si="10"/>
        <v>#VALUE!</v>
      </c>
      <c r="M1183" s="46" t="e">
        <v>#VALUE!</v>
      </c>
    </row>
    <row r="1184" spans="1:13" s="46" customFormat="1" outlineLevel="1">
      <c r="A1184" s="3"/>
      <c r="B1184" s="491" t="s">
        <v>153</v>
      </c>
      <c r="C1184" s="480" t="s">
        <v>154</v>
      </c>
      <c r="D1184" s="481"/>
      <c r="E1184" s="484"/>
      <c r="F1184" s="627"/>
      <c r="G1184" s="627"/>
      <c r="H1184" s="631"/>
      <c r="I1184" s="631"/>
      <c r="J1184" s="273"/>
      <c r="K1184" s="626" t="e">
        <f>VLOOKUP(B1184,'[75]REKAP ANL'!B:F,5,0)</f>
        <v>#N/A</v>
      </c>
      <c r="L1184" s="756">
        <f t="shared" si="10"/>
        <v>0</v>
      </c>
      <c r="M1184" s="46">
        <v>0</v>
      </c>
    </row>
    <row r="1185" spans="1:13" s="46" customFormat="1" outlineLevel="1">
      <c r="A1185" s="3"/>
      <c r="B1185" s="491"/>
      <c r="C1185" s="480" t="s">
        <v>599</v>
      </c>
      <c r="D1185" s="481"/>
      <c r="E1185" s="484"/>
      <c r="F1185" s="629" t="s">
        <v>69</v>
      </c>
      <c r="G1185" s="630">
        <v>0.72</v>
      </c>
      <c r="H1185" s="174">
        <f>VLOOKUP(C1185,'UPAH-BAHAN'!D:F,2,0)</f>
        <v>245000</v>
      </c>
      <c r="I1185" s="631">
        <f>H1185*G1185</f>
        <v>176400</v>
      </c>
      <c r="J1185" s="273"/>
      <c r="K1185" s="626" t="e">
        <f>VLOOKUP(B1185,'[75]REKAP ANL'!B:F,5,0)</f>
        <v>#REF!</v>
      </c>
      <c r="L1185" s="756">
        <f t="shared" si="10"/>
        <v>1.44</v>
      </c>
      <c r="M1185" s="46">
        <v>0.72</v>
      </c>
    </row>
    <row r="1186" spans="1:13" s="46" customFormat="1" outlineLevel="1">
      <c r="A1186" s="3"/>
      <c r="B1186" s="491"/>
      <c r="C1186" s="480" t="s">
        <v>600</v>
      </c>
      <c r="D1186" s="481"/>
      <c r="E1186" s="484"/>
      <c r="F1186" s="629" t="s">
        <v>69</v>
      </c>
      <c r="G1186" s="630">
        <v>0.72</v>
      </c>
      <c r="H1186" s="174">
        <f>VLOOKUP(C1186,'UPAH-BAHAN'!D:F,2,0)</f>
        <v>195000</v>
      </c>
      <c r="I1186" s="631">
        <f>H1186*G1186</f>
        <v>140400</v>
      </c>
      <c r="J1186" s="273"/>
      <c r="K1186" s="626" t="e">
        <f>VLOOKUP(B1186,'[75]REKAP ANL'!B:F,5,0)</f>
        <v>#REF!</v>
      </c>
      <c r="L1186" s="756">
        <f t="shared" si="10"/>
        <v>1.44</v>
      </c>
      <c r="M1186" s="46">
        <v>0.72</v>
      </c>
    </row>
    <row r="1187" spans="1:13" s="46" customFormat="1" outlineLevel="1">
      <c r="A1187" s="3"/>
      <c r="B1187" s="491"/>
      <c r="C1187" s="480" t="s">
        <v>601</v>
      </c>
      <c r="D1187" s="481"/>
      <c r="E1187" s="484"/>
      <c r="F1187" s="629" t="s">
        <v>69</v>
      </c>
      <c r="G1187" s="630">
        <v>0.36</v>
      </c>
      <c r="H1187" s="174">
        <f>VLOOKUP(C1187,'UPAH-BAHAN'!D:F,2,0)</f>
        <v>130000</v>
      </c>
      <c r="I1187" s="631">
        <f>H1187*G1187</f>
        <v>46800</v>
      </c>
      <c r="J1187" s="273"/>
      <c r="K1187" s="626" t="e">
        <f>VLOOKUP(B1187,'[75]REKAP ANL'!B:F,5,0)</f>
        <v>#REF!</v>
      </c>
      <c r="L1187" s="756">
        <f t="shared" si="10"/>
        <v>0.72</v>
      </c>
      <c r="M1187" s="46">
        <v>0.36</v>
      </c>
    </row>
    <row r="1188" spans="1:13" s="46" customFormat="1" outlineLevel="1">
      <c r="A1188" s="3"/>
      <c r="B1188" s="491"/>
      <c r="C1188" s="480" t="s">
        <v>602</v>
      </c>
      <c r="D1188" s="481"/>
      <c r="E1188" s="484"/>
      <c r="F1188" s="629" t="s">
        <v>92</v>
      </c>
      <c r="G1188" s="630">
        <v>0.5</v>
      </c>
      <c r="H1188" s="174">
        <f>VLOOKUP(C1188,'UPAH-BAHAN'!D:F,2,0)</f>
        <v>25000</v>
      </c>
      <c r="I1188" s="631">
        <f>H1188*G1188</f>
        <v>12500</v>
      </c>
      <c r="J1188" s="273"/>
      <c r="K1188" s="626" t="e">
        <f>VLOOKUP(B1188,'[75]REKAP ANL'!B:F,5,0)</f>
        <v>#REF!</v>
      </c>
      <c r="L1188" s="756">
        <f t="shared" si="10"/>
        <v>1</v>
      </c>
      <c r="M1188" s="46">
        <v>0.5</v>
      </c>
    </row>
    <row r="1189" spans="1:13" s="46" customFormat="1" outlineLevel="1">
      <c r="A1189" s="3"/>
      <c r="B1189" s="491"/>
      <c r="C1189" s="480" t="s">
        <v>603</v>
      </c>
      <c r="D1189" s="481"/>
      <c r="E1189" s="484"/>
      <c r="F1189" s="482" t="s">
        <v>604</v>
      </c>
      <c r="G1189" s="630">
        <v>2.2000000000000002</v>
      </c>
      <c r="H1189" s="174">
        <v>30000</v>
      </c>
      <c r="I1189" s="631">
        <f>H1189*G1189</f>
        <v>66000</v>
      </c>
      <c r="J1189" s="273"/>
      <c r="K1189" s="626" t="e">
        <f>VLOOKUP(B1189,'[75]REKAP ANL'!B:F,5,0)</f>
        <v>#REF!</v>
      </c>
      <c r="L1189" s="756">
        <f t="shared" si="10"/>
        <v>4.4000000000000004</v>
      </c>
      <c r="M1189" s="46">
        <v>2</v>
      </c>
    </row>
    <row r="1190" spans="1:13" s="46" customFormat="1" outlineLevel="1">
      <c r="A1190" s="3"/>
      <c r="B1190" s="491"/>
      <c r="C1190" s="480"/>
      <c r="D1190" s="481"/>
      <c r="E1190" s="484"/>
      <c r="F1190" s="627"/>
      <c r="G1190" s="708" t="s">
        <v>172</v>
      </c>
      <c r="H1190" s="631"/>
      <c r="I1190" s="631">
        <f>SUM(I1185:I1189)</f>
        <v>442100</v>
      </c>
      <c r="J1190" s="273"/>
      <c r="K1190" s="626" t="e">
        <f>VLOOKUP(B1190,'[75]REKAP ANL'!B:F,5,0)</f>
        <v>#REF!</v>
      </c>
      <c r="L1190" s="756"/>
    </row>
    <row r="1191" spans="1:13" s="46" customFormat="1" outlineLevel="1">
      <c r="A1191" s="3"/>
      <c r="B1191" s="491" t="s">
        <v>157</v>
      </c>
      <c r="C1191" s="480" t="s">
        <v>158</v>
      </c>
      <c r="D1191" s="481"/>
      <c r="E1191" s="484"/>
      <c r="F1191" s="627"/>
      <c r="G1191" s="627"/>
      <c r="H1191" s="628"/>
      <c r="I1191" s="628"/>
      <c r="J1191" s="273"/>
      <c r="K1191" s="626" t="e">
        <f>VLOOKUP(B1191,'[75]REKAP ANL'!B:F,5,0)</f>
        <v>#N/A</v>
      </c>
      <c r="L1191" s="756"/>
    </row>
    <row r="1192" spans="1:13" s="46" customFormat="1" outlineLevel="1">
      <c r="A1192" s="3"/>
      <c r="B1192" s="491"/>
      <c r="C1192" s="480"/>
      <c r="D1192" s="481"/>
      <c r="E1192" s="484"/>
      <c r="F1192" s="627"/>
      <c r="G1192" s="627"/>
      <c r="H1192" s="628"/>
      <c r="I1192" s="628"/>
      <c r="J1192" s="273"/>
      <c r="K1192" s="626" t="e">
        <f>VLOOKUP(B1192,'[75]REKAP ANL'!B:F,5,0)</f>
        <v>#REF!</v>
      </c>
      <c r="L1192" s="756"/>
    </row>
    <row r="1193" spans="1:13" s="46" customFormat="1" outlineLevel="1">
      <c r="A1193" s="3"/>
      <c r="B1193" s="632"/>
      <c r="C1193" s="633"/>
      <c r="D1193" s="634"/>
      <c r="E1193" s="484"/>
      <c r="F1193" s="627"/>
      <c r="G1193" s="708" t="s">
        <v>159</v>
      </c>
      <c r="H1193" s="628"/>
      <c r="I1193" s="177">
        <f>I1192</f>
        <v>0</v>
      </c>
      <c r="J1193" s="273"/>
      <c r="K1193" s="626" t="e">
        <f>VLOOKUP(B1193,'[75]REKAP ANL'!B:F,5,0)</f>
        <v>#REF!</v>
      </c>
      <c r="L1193" s="756"/>
    </row>
    <row r="1194" spans="1:13" s="46" customFormat="1" outlineLevel="1">
      <c r="A1194" s="3"/>
      <c r="B1194" s="635"/>
      <c r="C1194" s="636"/>
      <c r="D1194" s="637"/>
      <c r="E1194" s="484"/>
      <c r="F1194" s="627"/>
      <c r="G1194" s="627"/>
      <c r="H1194" s="628"/>
      <c r="I1194" s="628"/>
      <c r="J1194" s="273"/>
      <c r="K1194" s="626" t="e">
        <f>VLOOKUP(B1194,'[75]REKAP ANL'!B:F,5,0)</f>
        <v>#REF!</v>
      </c>
      <c r="L1194" s="756"/>
    </row>
    <row r="1195" spans="1:13" s="46" customFormat="1" outlineLevel="1">
      <c r="A1195" s="3"/>
      <c r="B1195" s="491" t="s">
        <v>160</v>
      </c>
      <c r="C1195" s="480" t="s">
        <v>161</v>
      </c>
      <c r="D1195" s="481"/>
      <c r="E1195" s="492"/>
      <c r="F1195" s="628"/>
      <c r="G1195" s="629"/>
      <c r="H1195" s="628"/>
      <c r="I1195" s="631">
        <f>I1193+I1190+I1183</f>
        <v>566970</v>
      </c>
      <c r="J1195" s="273"/>
      <c r="K1195" s="626" t="e">
        <f>VLOOKUP(B1195,'[75]REKAP ANL'!B:F,5,0)</f>
        <v>#N/A</v>
      </c>
      <c r="L1195" s="756"/>
    </row>
    <row r="1196" spans="1:13" s="46" customFormat="1" outlineLevel="1">
      <c r="A1196" s="3"/>
      <c r="B1196" s="491" t="s">
        <v>162</v>
      </c>
      <c r="C1196" s="480" t="s">
        <v>82</v>
      </c>
      <c r="D1196" s="481"/>
      <c r="E1196" s="747"/>
      <c r="F1196" s="497"/>
      <c r="G1196" s="638">
        <f>$J$3</f>
        <v>0.15</v>
      </c>
      <c r="H1196" s="492"/>
      <c r="I1196" s="493">
        <f>I1195*G1196</f>
        <v>85045.5</v>
      </c>
      <c r="J1196" s="273"/>
      <c r="K1196" s="626" t="e">
        <f>VLOOKUP(B1196,'[75]REKAP ANL'!B:F,5,0)</f>
        <v>#N/A</v>
      </c>
      <c r="L1196" s="756"/>
    </row>
    <row r="1197" spans="1:13" s="46" customFormat="1" outlineLevel="1">
      <c r="A1197" s="3"/>
      <c r="B1197" s="491" t="s">
        <v>163</v>
      </c>
      <c r="C1197" s="480" t="s">
        <v>164</v>
      </c>
      <c r="D1197" s="481"/>
      <c r="E1197" s="492"/>
      <c r="F1197" s="628"/>
      <c r="G1197" s="629"/>
      <c r="H1197" s="628"/>
      <c r="I1197" s="631">
        <f>I1196+I1195</f>
        <v>652015.5</v>
      </c>
      <c r="J1197" s="273"/>
      <c r="K1197" s="626" t="e">
        <f>VLOOKUP(B1197,'[75]REKAP ANL'!B:F,5,0)</f>
        <v>#N/A</v>
      </c>
      <c r="L1197" s="756"/>
    </row>
    <row r="1198" spans="1:13" outlineLevel="1">
      <c r="B1198" s="184"/>
      <c r="D1198" s="186"/>
      <c r="E1198" s="186"/>
      <c r="F1198" s="186"/>
      <c r="G1198" s="184"/>
      <c r="H1198" s="307"/>
      <c r="I1198" s="307"/>
    </row>
    <row r="1199" spans="1:13">
      <c r="B1199" s="184"/>
      <c r="D1199" s="186"/>
      <c r="E1199" s="186"/>
      <c r="F1199" s="280"/>
      <c r="G1199" s="718"/>
      <c r="H1199" s="280"/>
      <c r="I1199" s="331"/>
    </row>
    <row r="1200" spans="1:13" ht="20.399999999999999">
      <c r="A1200" s="155"/>
      <c r="B1200" s="571" t="s">
        <v>289</v>
      </c>
      <c r="C1200" s="156"/>
      <c r="D1200" s="156"/>
      <c r="E1200" s="156"/>
      <c r="F1200" s="156"/>
      <c r="G1200" s="712"/>
      <c r="H1200" s="157"/>
      <c r="I1200" s="156"/>
      <c r="J1200" s="158"/>
    </row>
    <row r="1201" spans="1:10">
      <c r="A1201" s="159" t="str">
        <f>B1201</f>
        <v>Hit. EL.1</v>
      </c>
      <c r="B1201" s="167" t="s">
        <v>290</v>
      </c>
      <c r="C1201" s="159"/>
      <c r="D1201" s="159" t="s">
        <v>291</v>
      </c>
      <c r="E1201" s="159"/>
      <c r="F1201" s="159"/>
      <c r="G1201" s="163"/>
      <c r="H1201" s="161"/>
      <c r="I1201" s="160"/>
      <c r="J1201" s="162">
        <f>I1220</f>
        <v>232084.375</v>
      </c>
    </row>
    <row r="1202" spans="1:10" ht="31.2" outlineLevel="1">
      <c r="A1202" s="163"/>
      <c r="B1202" s="164" t="s">
        <v>75</v>
      </c>
      <c r="C1202" s="1254" t="s">
        <v>140</v>
      </c>
      <c r="D1202" s="1255"/>
      <c r="E1202" s="164" t="s">
        <v>141</v>
      </c>
      <c r="F1202" s="164" t="s">
        <v>142</v>
      </c>
      <c r="G1202" s="164" t="s">
        <v>143</v>
      </c>
      <c r="H1202" s="165" t="s">
        <v>144</v>
      </c>
      <c r="I1202" s="165" t="s">
        <v>145</v>
      </c>
      <c r="J1202" s="166"/>
    </row>
    <row r="1203" spans="1:10" outlineLevel="1">
      <c r="B1203" s="165" t="s">
        <v>146</v>
      </c>
      <c r="C1203" s="168" t="s">
        <v>147</v>
      </c>
      <c r="D1203" s="169"/>
      <c r="E1203" s="170"/>
      <c r="F1203" s="170"/>
      <c r="G1203" s="170"/>
      <c r="H1203" s="171"/>
      <c r="I1203" s="171"/>
    </row>
    <row r="1204" spans="1:10" outlineLevel="1">
      <c r="B1204" s="165"/>
      <c r="C1204" s="168" t="s">
        <v>77</v>
      </c>
      <c r="D1204" s="169"/>
      <c r="E1204" s="165" t="s">
        <v>148</v>
      </c>
      <c r="F1204" s="165" t="s">
        <v>76</v>
      </c>
      <c r="G1204" s="173">
        <v>0.25</v>
      </c>
      <c r="H1204" s="174">
        <f>VLOOKUP(C1204,'UPAH-BAHAN'!D:F,2,0)</f>
        <v>120000</v>
      </c>
      <c r="I1204" s="177">
        <f>G1204*H1204</f>
        <v>30000</v>
      </c>
    </row>
    <row r="1205" spans="1:10" outlineLevel="1">
      <c r="B1205" s="165"/>
      <c r="C1205" s="168" t="s">
        <v>97</v>
      </c>
      <c r="D1205" s="169"/>
      <c r="E1205" s="165" t="s">
        <v>149</v>
      </c>
      <c r="F1205" s="165" t="s">
        <v>76</v>
      </c>
      <c r="G1205" s="173">
        <v>0.25</v>
      </c>
      <c r="H1205" s="174">
        <f>VLOOKUP(C1205,'UPAH-BAHAN'!D:F,2,0)</f>
        <v>160000</v>
      </c>
      <c r="I1205" s="177">
        <f>G1205*H1205</f>
        <v>40000</v>
      </c>
    </row>
    <row r="1206" spans="1:10" outlineLevel="1">
      <c r="B1206" s="165"/>
      <c r="C1206" s="168" t="s">
        <v>99</v>
      </c>
      <c r="D1206" s="169"/>
      <c r="E1206" s="165" t="s">
        <v>150</v>
      </c>
      <c r="F1206" s="165" t="s">
        <v>76</v>
      </c>
      <c r="G1206" s="165">
        <v>2.5000000000000001E-2</v>
      </c>
      <c r="H1206" s="174">
        <f>VLOOKUP(C1206,'UPAH-BAHAN'!D:F,2,0)</f>
        <v>170000</v>
      </c>
      <c r="I1206" s="177">
        <f>G1206*H1206</f>
        <v>4250</v>
      </c>
    </row>
    <row r="1207" spans="1:10" outlineLevel="1">
      <c r="B1207" s="165"/>
      <c r="C1207" s="168" t="s">
        <v>80</v>
      </c>
      <c r="D1207" s="169"/>
      <c r="E1207" s="165" t="s">
        <v>151</v>
      </c>
      <c r="F1207" s="165" t="s">
        <v>76</v>
      </c>
      <c r="G1207" s="165">
        <v>2.5000000000000001E-3</v>
      </c>
      <c r="H1207" s="174">
        <f>VLOOKUP(C1207,'UPAH-BAHAN'!D:F,2,0)</f>
        <v>225000</v>
      </c>
      <c r="I1207" s="177">
        <f>G1207*H1207</f>
        <v>562.5</v>
      </c>
    </row>
    <row r="1208" spans="1:10" outlineLevel="1">
      <c r="B1208" s="165"/>
      <c r="C1208" s="168"/>
      <c r="D1208" s="169"/>
      <c r="E1208" s="170"/>
      <c r="F1208" s="170"/>
      <c r="G1208" s="340" t="s">
        <v>152</v>
      </c>
      <c r="H1208" s="177"/>
      <c r="I1208" s="177">
        <f>SUM(I1204:I1207)</f>
        <v>74812.5</v>
      </c>
    </row>
    <row r="1209" spans="1:10" outlineLevel="1">
      <c r="B1209" s="165" t="s">
        <v>153</v>
      </c>
      <c r="C1209" s="168" t="s">
        <v>154</v>
      </c>
      <c r="D1209" s="169"/>
      <c r="E1209" s="170"/>
      <c r="F1209" s="170"/>
      <c r="G1209" s="170"/>
      <c r="H1209" s="177"/>
      <c r="I1209" s="177"/>
    </row>
    <row r="1210" spans="1:10" outlineLevel="1">
      <c r="B1210" s="165"/>
      <c r="C1210" s="168" t="s">
        <v>292</v>
      </c>
      <c r="D1210" s="169"/>
      <c r="E1210" s="170"/>
      <c r="F1210" s="165" t="s">
        <v>21</v>
      </c>
      <c r="G1210" s="165">
        <v>9</v>
      </c>
      <c r="H1210" s="174">
        <f>VLOOKUP(C1210,'UPAH-BAHAN'!D:F,2,0)</f>
        <v>10000</v>
      </c>
      <c r="I1210" s="631">
        <f t="shared" ref="I1210:I1212" si="11">H1210*G1210</f>
        <v>90000</v>
      </c>
    </row>
    <row r="1211" spans="1:10" outlineLevel="1">
      <c r="B1211" s="165"/>
      <c r="C1211" s="168" t="s">
        <v>293</v>
      </c>
      <c r="D1211" s="169"/>
      <c r="E1211" s="170"/>
      <c r="F1211" s="165" t="s">
        <v>137</v>
      </c>
      <c r="G1211" s="173">
        <v>3</v>
      </c>
      <c r="H1211" s="174">
        <f>VLOOKUP(C1211,'UPAH-BAHAN'!D:F,2,0)</f>
        <v>12000</v>
      </c>
      <c r="I1211" s="631">
        <f t="shared" si="11"/>
        <v>36000</v>
      </c>
    </row>
    <row r="1212" spans="1:10" outlineLevel="1">
      <c r="B1212" s="165"/>
      <c r="C1212" s="168" t="s">
        <v>294</v>
      </c>
      <c r="D1212" s="169"/>
      <c r="E1212" s="170"/>
      <c r="F1212" s="165" t="s">
        <v>20</v>
      </c>
      <c r="G1212" s="173">
        <v>1</v>
      </c>
      <c r="H1212" s="174">
        <v>1000</v>
      </c>
      <c r="I1212" s="631">
        <f t="shared" si="11"/>
        <v>1000</v>
      </c>
    </row>
    <row r="1213" spans="1:10" outlineLevel="1">
      <c r="B1213" s="165"/>
      <c r="C1213" s="168"/>
      <c r="D1213" s="169"/>
      <c r="E1213" s="170"/>
      <c r="F1213" s="170"/>
      <c r="G1213" s="340" t="s">
        <v>156</v>
      </c>
      <c r="H1213" s="177"/>
      <c r="I1213" s="177">
        <f>SUM(I1210:I1212)</f>
        <v>127000</v>
      </c>
    </row>
    <row r="1214" spans="1:10" outlineLevel="1">
      <c r="B1214" s="165" t="s">
        <v>157</v>
      </c>
      <c r="C1214" s="168" t="s">
        <v>158</v>
      </c>
      <c r="D1214" s="169"/>
      <c r="E1214" s="170"/>
      <c r="F1214" s="170"/>
      <c r="G1214" s="170"/>
      <c r="H1214" s="177"/>
      <c r="I1214" s="177"/>
    </row>
    <row r="1215" spans="1:10" outlineLevel="1">
      <c r="B1215" s="165"/>
      <c r="C1215" s="168"/>
      <c r="D1215" s="169"/>
      <c r="E1215" s="170"/>
      <c r="F1215" s="170"/>
      <c r="G1215" s="170"/>
      <c r="H1215" s="177"/>
      <c r="I1215" s="177"/>
    </row>
    <row r="1216" spans="1:10" outlineLevel="1">
      <c r="B1216" s="165"/>
      <c r="C1216" s="168"/>
      <c r="D1216" s="169"/>
      <c r="E1216" s="170"/>
      <c r="F1216" s="170"/>
      <c r="G1216" s="340" t="s">
        <v>159</v>
      </c>
      <c r="H1216" s="177"/>
      <c r="I1216" s="177"/>
    </row>
    <row r="1217" spans="1:10" outlineLevel="1">
      <c r="B1217" s="165"/>
      <c r="C1217" s="168"/>
      <c r="D1217" s="169"/>
      <c r="E1217" s="170"/>
      <c r="F1217" s="170"/>
      <c r="G1217" s="170"/>
      <c r="H1217" s="177"/>
      <c r="I1217" s="177">
        <f>SUM(I1216)</f>
        <v>0</v>
      </c>
    </row>
    <row r="1218" spans="1:10" outlineLevel="1">
      <c r="B1218" s="165" t="s">
        <v>160</v>
      </c>
      <c r="C1218" s="168" t="s">
        <v>161</v>
      </c>
      <c r="D1218" s="169"/>
      <c r="E1218" s="171"/>
      <c r="F1218" s="171"/>
      <c r="G1218" s="165"/>
      <c r="H1218" s="177"/>
      <c r="I1218" s="177">
        <f>I1208+I1213+I1217</f>
        <v>201812.5</v>
      </c>
    </row>
    <row r="1219" spans="1:10" outlineLevel="1">
      <c r="B1219" s="165" t="s">
        <v>162</v>
      </c>
      <c r="C1219" s="168" t="s">
        <v>82</v>
      </c>
      <c r="D1219" s="169"/>
      <c r="E1219" s="194"/>
      <c r="F1219" s="179"/>
      <c r="G1219" s="180">
        <f>$J$3</f>
        <v>0.15</v>
      </c>
      <c r="H1219" s="171"/>
      <c r="I1219" s="175">
        <f>I1218*G1219</f>
        <v>30271.875</v>
      </c>
    </row>
    <row r="1220" spans="1:10" outlineLevel="1">
      <c r="B1220" s="165" t="s">
        <v>163</v>
      </c>
      <c r="C1220" s="168" t="s">
        <v>164</v>
      </c>
      <c r="D1220" s="169"/>
      <c r="E1220" s="171"/>
      <c r="F1220" s="171"/>
      <c r="G1220" s="165"/>
      <c r="H1220" s="177"/>
      <c r="I1220" s="177">
        <f>I1218+I1219</f>
        <v>232084.375</v>
      </c>
    </row>
    <row r="1221" spans="1:10" outlineLevel="1">
      <c r="B1221" s="184"/>
      <c r="D1221" s="186"/>
      <c r="E1221" s="186"/>
      <c r="F1221" s="186"/>
      <c r="G1221" s="184"/>
      <c r="H1221" s="307"/>
      <c r="I1221" s="307"/>
    </row>
    <row r="1222" spans="1:10">
      <c r="A1222" s="159" t="str">
        <f>B1222</f>
        <v>Hit. EL.2</v>
      </c>
      <c r="B1222" s="167" t="s">
        <v>295</v>
      </c>
      <c r="C1222" s="159"/>
      <c r="D1222" s="159" t="s">
        <v>296</v>
      </c>
      <c r="E1222" s="159"/>
      <c r="F1222" s="159"/>
      <c r="G1222" s="163"/>
      <c r="H1222" s="161"/>
      <c r="I1222" s="160"/>
      <c r="J1222" s="162">
        <f>I1242</f>
        <v>94213.75</v>
      </c>
    </row>
    <row r="1223" spans="1:10" ht="31.2" outlineLevel="1">
      <c r="A1223" s="163"/>
      <c r="B1223" s="164" t="s">
        <v>75</v>
      </c>
      <c r="C1223" s="1254" t="s">
        <v>140</v>
      </c>
      <c r="D1223" s="1255"/>
      <c r="E1223" s="164" t="s">
        <v>141</v>
      </c>
      <c r="F1223" s="164" t="s">
        <v>142</v>
      </c>
      <c r="G1223" s="164" t="s">
        <v>143</v>
      </c>
      <c r="H1223" s="165" t="s">
        <v>144</v>
      </c>
      <c r="I1223" s="165" t="s">
        <v>145</v>
      </c>
      <c r="J1223" s="166"/>
    </row>
    <row r="1224" spans="1:10" outlineLevel="1">
      <c r="B1224" s="165" t="s">
        <v>146</v>
      </c>
      <c r="C1224" s="168" t="s">
        <v>147</v>
      </c>
      <c r="D1224" s="169"/>
      <c r="E1224" s="170"/>
      <c r="F1224" s="170"/>
      <c r="G1224" s="170"/>
      <c r="H1224" s="171"/>
      <c r="I1224" s="171"/>
    </row>
    <row r="1225" spans="1:10" outlineLevel="1">
      <c r="B1225" s="165"/>
      <c r="C1225" s="168" t="s">
        <v>77</v>
      </c>
      <c r="D1225" s="169"/>
      <c r="E1225" s="165" t="s">
        <v>148</v>
      </c>
      <c r="F1225" s="165" t="s">
        <v>76</v>
      </c>
      <c r="G1225" s="173">
        <v>0.1</v>
      </c>
      <c r="H1225" s="174">
        <f>VLOOKUP(C1225,'UPAH-BAHAN'!D:F,2,0)</f>
        <v>120000</v>
      </c>
      <c r="I1225" s="177">
        <f>G1225*H1225</f>
        <v>12000</v>
      </c>
    </row>
    <row r="1226" spans="1:10" outlineLevel="1">
      <c r="B1226" s="165"/>
      <c r="C1226" s="168" t="s">
        <v>97</v>
      </c>
      <c r="D1226" s="169"/>
      <c r="E1226" s="165" t="s">
        <v>149</v>
      </c>
      <c r="F1226" s="165" t="s">
        <v>76</v>
      </c>
      <c r="G1226" s="173">
        <v>0.1</v>
      </c>
      <c r="H1226" s="174">
        <f>VLOOKUP(C1226,'UPAH-BAHAN'!D:F,2,0)</f>
        <v>160000</v>
      </c>
      <c r="I1226" s="177">
        <f>G1226*H1226</f>
        <v>16000</v>
      </c>
    </row>
    <row r="1227" spans="1:10" outlineLevel="1">
      <c r="B1227" s="165"/>
      <c r="C1227" s="168" t="s">
        <v>99</v>
      </c>
      <c r="D1227" s="169"/>
      <c r="E1227" s="165" t="s">
        <v>150</v>
      </c>
      <c r="F1227" s="165" t="s">
        <v>76</v>
      </c>
      <c r="G1227" s="165">
        <v>0.01</v>
      </c>
      <c r="H1227" s="174">
        <f>VLOOKUP(C1227,'UPAH-BAHAN'!D:F,2,0)</f>
        <v>170000</v>
      </c>
      <c r="I1227" s="177">
        <f>G1227*H1227</f>
        <v>1700</v>
      </c>
    </row>
    <row r="1228" spans="1:10" outlineLevel="1">
      <c r="B1228" s="165"/>
      <c r="C1228" s="168" t="s">
        <v>80</v>
      </c>
      <c r="D1228" s="169"/>
      <c r="E1228" s="165" t="s">
        <v>151</v>
      </c>
      <c r="F1228" s="165" t="s">
        <v>76</v>
      </c>
      <c r="G1228" s="165">
        <v>1E-3</v>
      </c>
      <c r="H1228" s="174">
        <f>VLOOKUP(C1228,'UPAH-BAHAN'!D:F,2,0)</f>
        <v>225000</v>
      </c>
      <c r="I1228" s="177">
        <f>G1228*H1228</f>
        <v>225</v>
      </c>
    </row>
    <row r="1229" spans="1:10" outlineLevel="1">
      <c r="B1229" s="165"/>
      <c r="C1229" s="168"/>
      <c r="D1229" s="169"/>
      <c r="E1229" s="170"/>
      <c r="F1229" s="170"/>
      <c r="G1229" s="340" t="s">
        <v>152</v>
      </c>
      <c r="H1229" s="177"/>
      <c r="I1229" s="177">
        <f>SUM(I1225:I1228)</f>
        <v>29925</v>
      </c>
    </row>
    <row r="1230" spans="1:10" outlineLevel="1">
      <c r="B1230" s="165" t="s">
        <v>153</v>
      </c>
      <c r="C1230" s="168" t="s">
        <v>154</v>
      </c>
      <c r="D1230" s="169"/>
      <c r="E1230" s="170"/>
      <c r="F1230" s="170"/>
      <c r="G1230" s="170"/>
      <c r="H1230" s="177"/>
      <c r="I1230" s="177"/>
    </row>
    <row r="1231" spans="1:10" outlineLevel="1">
      <c r="B1231" s="165"/>
      <c r="C1231" s="168" t="s">
        <v>297</v>
      </c>
      <c r="D1231" s="169"/>
      <c r="E1231" s="170"/>
      <c r="F1231" s="165" t="s">
        <v>23</v>
      </c>
      <c r="G1231" s="173">
        <v>1</v>
      </c>
      <c r="H1231" s="174">
        <f>VLOOKUP(C1231,'UPAH-BAHAN'!D:F,2,0)</f>
        <v>10000</v>
      </c>
      <c r="I1231" s="177">
        <f>G1231*H1231</f>
        <v>10000</v>
      </c>
    </row>
    <row r="1232" spans="1:10" outlineLevel="1">
      <c r="B1232" s="165"/>
      <c r="C1232" s="168" t="s">
        <v>74</v>
      </c>
      <c r="D1232" s="169"/>
      <c r="E1232" s="170"/>
      <c r="F1232" s="165" t="s">
        <v>23</v>
      </c>
      <c r="G1232" s="173">
        <v>1</v>
      </c>
      <c r="H1232" s="174">
        <f>VLOOKUP(C1232,'UPAH-BAHAN'!D:F,2,0)</f>
        <v>20000</v>
      </c>
      <c r="I1232" s="177">
        <f>G1232*H1232</f>
        <v>20000</v>
      </c>
    </row>
    <row r="1233" spans="1:10" outlineLevel="1">
      <c r="B1233" s="165"/>
      <c r="C1233" s="168" t="s">
        <v>298</v>
      </c>
      <c r="D1233" s="169"/>
      <c r="E1233" s="170"/>
      <c r="F1233" s="165" t="s">
        <v>23</v>
      </c>
      <c r="G1233" s="173">
        <v>1</v>
      </c>
      <c r="H1233" s="174">
        <f>VLOOKUP(C1233,'UPAH-BAHAN'!D:F,2,0)</f>
        <v>12000</v>
      </c>
      <c r="I1233" s="177">
        <f>G1233*H1233</f>
        <v>12000</v>
      </c>
    </row>
    <row r="1234" spans="1:10" outlineLevel="1">
      <c r="B1234" s="165"/>
      <c r="C1234" s="168" t="s">
        <v>294</v>
      </c>
      <c r="D1234" s="169"/>
      <c r="E1234" s="170"/>
      <c r="F1234" s="165" t="s">
        <v>20</v>
      </c>
      <c r="G1234" s="173">
        <v>1</v>
      </c>
      <c r="H1234" s="174">
        <v>10000</v>
      </c>
      <c r="I1234" s="631">
        <f>H1234*G1234</f>
        <v>10000</v>
      </c>
    </row>
    <row r="1235" spans="1:10" outlineLevel="1">
      <c r="B1235" s="165"/>
      <c r="C1235" s="168"/>
      <c r="D1235" s="169"/>
      <c r="E1235" s="170"/>
      <c r="F1235" s="170"/>
      <c r="G1235" s="340" t="s">
        <v>156</v>
      </c>
      <c r="H1235" s="177"/>
      <c r="I1235" s="177">
        <f>SUM(I1231:I1234)</f>
        <v>52000</v>
      </c>
    </row>
    <row r="1236" spans="1:10" outlineLevel="1">
      <c r="B1236" s="165" t="s">
        <v>157</v>
      </c>
      <c r="C1236" s="168" t="s">
        <v>158</v>
      </c>
      <c r="D1236" s="169"/>
      <c r="E1236" s="170"/>
      <c r="F1236" s="170"/>
      <c r="G1236" s="170"/>
      <c r="H1236" s="177"/>
      <c r="I1236" s="177"/>
    </row>
    <row r="1237" spans="1:10" outlineLevel="1">
      <c r="B1237" s="165"/>
      <c r="C1237" s="168"/>
      <c r="D1237" s="169"/>
      <c r="E1237" s="170"/>
      <c r="F1237" s="170"/>
      <c r="G1237" s="170"/>
      <c r="H1237" s="177"/>
      <c r="I1237" s="177"/>
    </row>
    <row r="1238" spans="1:10" outlineLevel="1">
      <c r="B1238" s="165"/>
      <c r="C1238" s="168"/>
      <c r="D1238" s="169"/>
      <c r="E1238" s="170"/>
      <c r="F1238" s="170"/>
      <c r="G1238" s="340" t="s">
        <v>159</v>
      </c>
      <c r="H1238" s="177"/>
      <c r="I1238" s="177"/>
    </row>
    <row r="1239" spans="1:10" outlineLevel="1">
      <c r="B1239" s="165"/>
      <c r="C1239" s="168"/>
      <c r="D1239" s="169"/>
      <c r="E1239" s="170"/>
      <c r="F1239" s="170"/>
      <c r="G1239" s="170"/>
      <c r="H1239" s="177"/>
      <c r="I1239" s="177">
        <f>SUM(I1238)</f>
        <v>0</v>
      </c>
    </row>
    <row r="1240" spans="1:10" outlineLevel="1">
      <c r="B1240" s="165" t="s">
        <v>160</v>
      </c>
      <c r="C1240" s="168" t="s">
        <v>161</v>
      </c>
      <c r="D1240" s="169"/>
      <c r="E1240" s="171"/>
      <c r="F1240" s="171"/>
      <c r="G1240" s="165"/>
      <c r="H1240" s="177"/>
      <c r="I1240" s="177">
        <f>I1229+I1235+I1239</f>
        <v>81925</v>
      </c>
    </row>
    <row r="1241" spans="1:10" outlineLevel="1">
      <c r="B1241" s="165" t="s">
        <v>162</v>
      </c>
      <c r="C1241" s="168" t="s">
        <v>82</v>
      </c>
      <c r="D1241" s="169"/>
      <c r="E1241" s="194"/>
      <c r="F1241" s="179"/>
      <c r="G1241" s="180">
        <f>$J$3</f>
        <v>0.15</v>
      </c>
      <c r="H1241" s="171"/>
      <c r="I1241" s="175">
        <f>I1240*G1241</f>
        <v>12288.75</v>
      </c>
    </row>
    <row r="1242" spans="1:10" outlineLevel="1">
      <c r="B1242" s="165" t="s">
        <v>163</v>
      </c>
      <c r="C1242" s="168" t="s">
        <v>164</v>
      </c>
      <c r="D1242" s="169"/>
      <c r="E1242" s="171"/>
      <c r="F1242" s="171"/>
      <c r="G1242" s="165"/>
      <c r="H1242" s="177"/>
      <c r="I1242" s="177">
        <f>I1240+I1241</f>
        <v>94213.75</v>
      </c>
    </row>
    <row r="1243" spans="1:10" outlineLevel="1"/>
    <row r="1244" spans="1:10">
      <c r="A1244" s="159" t="str">
        <f>B1244</f>
        <v>Hit. EL.3</v>
      </c>
      <c r="B1244" s="167" t="s">
        <v>299</v>
      </c>
      <c r="C1244" s="159"/>
      <c r="D1244" s="159" t="s">
        <v>300</v>
      </c>
      <c r="E1244" s="159"/>
      <c r="F1244" s="159"/>
      <c r="G1244" s="163"/>
      <c r="H1244" s="161"/>
      <c r="I1244" s="160"/>
      <c r="J1244" s="162">
        <f>I1264</f>
        <v>88463.75</v>
      </c>
    </row>
    <row r="1245" spans="1:10" ht="31.2" outlineLevel="1">
      <c r="A1245" s="163"/>
      <c r="B1245" s="164" t="s">
        <v>75</v>
      </c>
      <c r="C1245" s="1254" t="s">
        <v>140</v>
      </c>
      <c r="D1245" s="1255"/>
      <c r="E1245" s="164" t="s">
        <v>141</v>
      </c>
      <c r="F1245" s="164" t="s">
        <v>142</v>
      </c>
      <c r="G1245" s="164" t="s">
        <v>143</v>
      </c>
      <c r="H1245" s="165" t="s">
        <v>144</v>
      </c>
      <c r="I1245" s="165" t="s">
        <v>145</v>
      </c>
      <c r="J1245" s="166"/>
    </row>
    <row r="1246" spans="1:10" outlineLevel="1">
      <c r="B1246" s="165" t="s">
        <v>146</v>
      </c>
      <c r="C1246" s="168" t="s">
        <v>147</v>
      </c>
      <c r="D1246" s="169"/>
      <c r="E1246" s="170"/>
      <c r="F1246" s="170"/>
      <c r="G1246" s="170"/>
      <c r="H1246" s="171"/>
      <c r="I1246" s="171"/>
    </row>
    <row r="1247" spans="1:10" outlineLevel="1">
      <c r="B1247" s="165"/>
      <c r="C1247" s="168" t="s">
        <v>77</v>
      </c>
      <c r="D1247" s="169"/>
      <c r="E1247" s="165" t="s">
        <v>148</v>
      </c>
      <c r="F1247" s="165" t="s">
        <v>76</v>
      </c>
      <c r="G1247" s="173">
        <v>0.1</v>
      </c>
      <c r="H1247" s="174">
        <f>VLOOKUP(C1247,'UPAH-BAHAN'!D:F,2,0)</f>
        <v>120000</v>
      </c>
      <c r="I1247" s="177">
        <f>G1247*H1247</f>
        <v>12000</v>
      </c>
    </row>
    <row r="1248" spans="1:10" outlineLevel="1">
      <c r="B1248" s="165"/>
      <c r="C1248" s="168" t="s">
        <v>97</v>
      </c>
      <c r="D1248" s="169"/>
      <c r="E1248" s="165" t="s">
        <v>149</v>
      </c>
      <c r="F1248" s="165" t="s">
        <v>76</v>
      </c>
      <c r="G1248" s="173">
        <v>0.1</v>
      </c>
      <c r="H1248" s="174">
        <f>VLOOKUP(C1248,'UPAH-BAHAN'!D:F,2,0)</f>
        <v>160000</v>
      </c>
      <c r="I1248" s="177">
        <f>G1248*H1248</f>
        <v>16000</v>
      </c>
    </row>
    <row r="1249" spans="2:9" outlineLevel="1">
      <c r="B1249" s="165"/>
      <c r="C1249" s="168" t="s">
        <v>99</v>
      </c>
      <c r="D1249" s="169"/>
      <c r="E1249" s="165" t="s">
        <v>150</v>
      </c>
      <c r="F1249" s="165" t="s">
        <v>76</v>
      </c>
      <c r="G1249" s="165">
        <v>0.01</v>
      </c>
      <c r="H1249" s="174">
        <f>VLOOKUP(C1249,'UPAH-BAHAN'!D:F,2,0)</f>
        <v>170000</v>
      </c>
      <c r="I1249" s="177">
        <f>G1249*H1249</f>
        <v>1700</v>
      </c>
    </row>
    <row r="1250" spans="2:9" outlineLevel="1">
      <c r="B1250" s="165"/>
      <c r="C1250" s="168" t="s">
        <v>80</v>
      </c>
      <c r="D1250" s="169"/>
      <c r="E1250" s="165" t="s">
        <v>151</v>
      </c>
      <c r="F1250" s="165" t="s">
        <v>76</v>
      </c>
      <c r="G1250" s="165">
        <v>1E-3</v>
      </c>
      <c r="H1250" s="174">
        <f>VLOOKUP(C1250,'UPAH-BAHAN'!D:F,2,0)</f>
        <v>225000</v>
      </c>
      <c r="I1250" s="177">
        <f>G1250*H1250</f>
        <v>225</v>
      </c>
    </row>
    <row r="1251" spans="2:9" outlineLevel="1">
      <c r="B1251" s="165"/>
      <c r="C1251" s="168"/>
      <c r="D1251" s="169"/>
      <c r="E1251" s="170"/>
      <c r="F1251" s="170"/>
      <c r="G1251" s="340" t="s">
        <v>152</v>
      </c>
      <c r="H1251" s="177"/>
      <c r="I1251" s="177">
        <f>SUM(I1247:I1250)</f>
        <v>29925</v>
      </c>
    </row>
    <row r="1252" spans="2:9" outlineLevel="1">
      <c r="B1252" s="165" t="s">
        <v>153</v>
      </c>
      <c r="C1252" s="168" t="s">
        <v>154</v>
      </c>
      <c r="D1252" s="169"/>
      <c r="E1252" s="170"/>
      <c r="F1252" s="170"/>
      <c r="G1252" s="170"/>
      <c r="H1252" s="177"/>
      <c r="I1252" s="177"/>
    </row>
    <row r="1253" spans="2:9" outlineLevel="1">
      <c r="B1253" s="165"/>
      <c r="C1253" s="168" t="s">
        <v>297</v>
      </c>
      <c r="D1253" s="169"/>
      <c r="E1253" s="170"/>
      <c r="F1253" s="165" t="s">
        <v>23</v>
      </c>
      <c r="G1253" s="173">
        <v>1</v>
      </c>
      <c r="H1253" s="174">
        <f>VLOOKUP(C1253,'UPAH-BAHAN'!D:F,2,0)</f>
        <v>10000</v>
      </c>
      <c r="I1253" s="177">
        <f>G1253*H1253</f>
        <v>10000</v>
      </c>
    </row>
    <row r="1254" spans="2:9" outlineLevel="1">
      <c r="B1254" s="165"/>
      <c r="C1254" s="168" t="s">
        <v>301</v>
      </c>
      <c r="D1254" s="169"/>
      <c r="E1254" s="170"/>
      <c r="F1254" s="165" t="s">
        <v>23</v>
      </c>
      <c r="G1254" s="173">
        <v>1</v>
      </c>
      <c r="H1254" s="174">
        <f>VLOOKUP(C1254,'UPAH-BAHAN'!D:F,2,0)</f>
        <v>15000</v>
      </c>
      <c r="I1254" s="177">
        <f>G1254*H1254</f>
        <v>15000</v>
      </c>
    </row>
    <row r="1255" spans="2:9" outlineLevel="1">
      <c r="B1255" s="165"/>
      <c r="C1255" s="168" t="s">
        <v>298</v>
      </c>
      <c r="D1255" s="169"/>
      <c r="E1255" s="170"/>
      <c r="F1255" s="165" t="s">
        <v>23</v>
      </c>
      <c r="G1255" s="173">
        <v>1</v>
      </c>
      <c r="H1255" s="174">
        <f>VLOOKUP(C1255,'UPAH-BAHAN'!D:F,2,0)</f>
        <v>12000</v>
      </c>
      <c r="I1255" s="177">
        <f>G1255*H1255</f>
        <v>12000</v>
      </c>
    </row>
    <row r="1256" spans="2:9" outlineLevel="1">
      <c r="B1256" s="165"/>
      <c r="C1256" s="168" t="s">
        <v>294</v>
      </c>
      <c r="D1256" s="169"/>
      <c r="E1256" s="170"/>
      <c r="F1256" s="165" t="s">
        <v>20</v>
      </c>
      <c r="G1256" s="173">
        <v>1</v>
      </c>
      <c r="H1256" s="174">
        <v>10000</v>
      </c>
      <c r="I1256" s="631">
        <f>H1256*G1256</f>
        <v>10000</v>
      </c>
    </row>
    <row r="1257" spans="2:9" outlineLevel="1">
      <c r="B1257" s="165"/>
      <c r="C1257" s="168"/>
      <c r="D1257" s="169"/>
      <c r="E1257" s="170"/>
      <c r="F1257" s="170"/>
      <c r="G1257" s="340" t="s">
        <v>156</v>
      </c>
      <c r="H1257" s="177"/>
      <c r="I1257" s="177">
        <f>SUM(I1253:I1256)</f>
        <v>47000</v>
      </c>
    </row>
    <row r="1258" spans="2:9" outlineLevel="1">
      <c r="B1258" s="165" t="s">
        <v>157</v>
      </c>
      <c r="C1258" s="168" t="s">
        <v>158</v>
      </c>
      <c r="D1258" s="169"/>
      <c r="E1258" s="170"/>
      <c r="F1258" s="170"/>
      <c r="G1258" s="170"/>
      <c r="H1258" s="177"/>
      <c r="I1258" s="177"/>
    </row>
    <row r="1259" spans="2:9" outlineLevel="1">
      <c r="B1259" s="165"/>
      <c r="C1259" s="168"/>
      <c r="D1259" s="169"/>
      <c r="E1259" s="170"/>
      <c r="F1259" s="170"/>
      <c r="G1259" s="170"/>
      <c r="H1259" s="177"/>
      <c r="I1259" s="177"/>
    </row>
    <row r="1260" spans="2:9" outlineLevel="1">
      <c r="B1260" s="165"/>
      <c r="C1260" s="168"/>
      <c r="D1260" s="169"/>
      <c r="E1260" s="170"/>
      <c r="F1260" s="170"/>
      <c r="G1260" s="340" t="s">
        <v>159</v>
      </c>
      <c r="H1260" s="177"/>
      <c r="I1260" s="177"/>
    </row>
    <row r="1261" spans="2:9" outlineLevel="1">
      <c r="B1261" s="165"/>
      <c r="C1261" s="168"/>
      <c r="D1261" s="169"/>
      <c r="E1261" s="170"/>
      <c r="F1261" s="170"/>
      <c r="G1261" s="170"/>
      <c r="H1261" s="177"/>
      <c r="I1261" s="177">
        <f>SUM(I1260)</f>
        <v>0</v>
      </c>
    </row>
    <row r="1262" spans="2:9" outlineLevel="1">
      <c r="B1262" s="165" t="s">
        <v>160</v>
      </c>
      <c r="C1262" s="168" t="s">
        <v>161</v>
      </c>
      <c r="D1262" s="169"/>
      <c r="E1262" s="171"/>
      <c r="F1262" s="171"/>
      <c r="G1262" s="165"/>
      <c r="H1262" s="177"/>
      <c r="I1262" s="177">
        <f>I1251+I1257+I1261</f>
        <v>76925</v>
      </c>
    </row>
    <row r="1263" spans="2:9" outlineLevel="1">
      <c r="B1263" s="165" t="s">
        <v>162</v>
      </c>
      <c r="C1263" s="168" t="s">
        <v>82</v>
      </c>
      <c r="D1263" s="169"/>
      <c r="E1263" s="194"/>
      <c r="F1263" s="179"/>
      <c r="G1263" s="180">
        <f>$J$3</f>
        <v>0.15</v>
      </c>
      <c r="H1263" s="171"/>
      <c r="I1263" s="175">
        <f>I1262*G1263</f>
        <v>11538.75</v>
      </c>
    </row>
    <row r="1264" spans="2:9" outlineLevel="1">
      <c r="B1264" s="165" t="s">
        <v>163</v>
      </c>
      <c r="C1264" s="168" t="s">
        <v>164</v>
      </c>
      <c r="D1264" s="169"/>
      <c r="E1264" s="171"/>
      <c r="F1264" s="171"/>
      <c r="G1264" s="165"/>
      <c r="H1264" s="177"/>
      <c r="I1264" s="177">
        <f>I1262+I1263</f>
        <v>88463.75</v>
      </c>
    </row>
    <row r="1265" spans="1:10" outlineLevel="1"/>
    <row r="1266" spans="1:10">
      <c r="A1266" s="159" t="str">
        <f>B1266</f>
        <v>Hit. EL.4</v>
      </c>
      <c r="B1266" s="167" t="s">
        <v>302</v>
      </c>
      <c r="C1266" s="159"/>
      <c r="D1266" s="159" t="s">
        <v>303</v>
      </c>
      <c r="E1266" s="159"/>
      <c r="F1266" s="159"/>
      <c r="G1266" s="163"/>
      <c r="H1266" s="161"/>
      <c r="I1266" s="160"/>
      <c r="J1266" s="162">
        <f>I1286</f>
        <v>105713.75</v>
      </c>
    </row>
    <row r="1267" spans="1:10" ht="31.2" outlineLevel="1">
      <c r="A1267" s="163"/>
      <c r="B1267" s="164" t="s">
        <v>75</v>
      </c>
      <c r="C1267" s="1254" t="s">
        <v>140</v>
      </c>
      <c r="D1267" s="1255"/>
      <c r="E1267" s="164" t="s">
        <v>141</v>
      </c>
      <c r="F1267" s="164" t="s">
        <v>142</v>
      </c>
      <c r="G1267" s="164" t="s">
        <v>143</v>
      </c>
      <c r="H1267" s="165" t="s">
        <v>144</v>
      </c>
      <c r="I1267" s="165" t="s">
        <v>145</v>
      </c>
      <c r="J1267" s="166"/>
    </row>
    <row r="1268" spans="1:10" outlineLevel="1">
      <c r="B1268" s="165" t="s">
        <v>146</v>
      </c>
      <c r="C1268" s="168" t="s">
        <v>147</v>
      </c>
      <c r="D1268" s="169"/>
      <c r="E1268" s="170"/>
      <c r="F1268" s="170"/>
      <c r="G1268" s="170"/>
      <c r="H1268" s="171"/>
      <c r="I1268" s="171"/>
    </row>
    <row r="1269" spans="1:10" outlineLevel="1">
      <c r="B1269" s="165"/>
      <c r="C1269" s="168" t="s">
        <v>77</v>
      </c>
      <c r="D1269" s="169"/>
      <c r="E1269" s="165" t="s">
        <v>148</v>
      </c>
      <c r="F1269" s="165" t="s">
        <v>76</v>
      </c>
      <c r="G1269" s="173">
        <v>0.1</v>
      </c>
      <c r="H1269" s="174">
        <f>VLOOKUP(C1269,'UPAH-BAHAN'!D:F,2,0)</f>
        <v>120000</v>
      </c>
      <c r="I1269" s="177">
        <f>G1269*H1269</f>
        <v>12000</v>
      </c>
    </row>
    <row r="1270" spans="1:10" outlineLevel="1">
      <c r="B1270" s="165"/>
      <c r="C1270" s="168" t="s">
        <v>97</v>
      </c>
      <c r="D1270" s="169"/>
      <c r="E1270" s="165" t="s">
        <v>149</v>
      </c>
      <c r="F1270" s="165" t="s">
        <v>76</v>
      </c>
      <c r="G1270" s="173">
        <v>0.1</v>
      </c>
      <c r="H1270" s="174">
        <f>VLOOKUP(C1270,'UPAH-BAHAN'!D:F,2,0)</f>
        <v>160000</v>
      </c>
      <c r="I1270" s="177">
        <f>G1270*H1270</f>
        <v>16000</v>
      </c>
    </row>
    <row r="1271" spans="1:10" outlineLevel="1">
      <c r="B1271" s="165"/>
      <c r="C1271" s="168" t="s">
        <v>99</v>
      </c>
      <c r="D1271" s="169"/>
      <c r="E1271" s="165" t="s">
        <v>150</v>
      </c>
      <c r="F1271" s="165" t="s">
        <v>76</v>
      </c>
      <c r="G1271" s="165">
        <v>0.01</v>
      </c>
      <c r="H1271" s="174">
        <f>VLOOKUP(C1271,'UPAH-BAHAN'!D:F,2,0)</f>
        <v>170000</v>
      </c>
      <c r="I1271" s="177">
        <f>G1271*H1271</f>
        <v>1700</v>
      </c>
    </row>
    <row r="1272" spans="1:10" outlineLevel="1">
      <c r="B1272" s="165"/>
      <c r="C1272" s="168" t="s">
        <v>80</v>
      </c>
      <c r="D1272" s="169"/>
      <c r="E1272" s="165" t="s">
        <v>151</v>
      </c>
      <c r="F1272" s="165" t="s">
        <v>76</v>
      </c>
      <c r="G1272" s="165">
        <v>1E-3</v>
      </c>
      <c r="H1272" s="174">
        <f>VLOOKUP(C1272,'UPAH-BAHAN'!D:F,2,0)</f>
        <v>225000</v>
      </c>
      <c r="I1272" s="177">
        <f>G1272*H1272</f>
        <v>225</v>
      </c>
    </row>
    <row r="1273" spans="1:10" outlineLevel="1">
      <c r="B1273" s="165"/>
      <c r="C1273" s="168"/>
      <c r="D1273" s="169"/>
      <c r="E1273" s="170"/>
      <c r="F1273" s="170"/>
      <c r="G1273" s="340" t="s">
        <v>152</v>
      </c>
      <c r="H1273" s="177"/>
      <c r="I1273" s="177">
        <f>SUM(I1269:I1272)</f>
        <v>29925</v>
      </c>
    </row>
    <row r="1274" spans="1:10" outlineLevel="1">
      <c r="B1274" s="165" t="s">
        <v>153</v>
      </c>
      <c r="C1274" s="168" t="s">
        <v>154</v>
      </c>
      <c r="D1274" s="169"/>
      <c r="E1274" s="170"/>
      <c r="F1274" s="170"/>
      <c r="G1274" s="170"/>
      <c r="H1274" s="177"/>
      <c r="I1274" s="177"/>
    </row>
    <row r="1275" spans="1:10" outlineLevel="1">
      <c r="B1275" s="165"/>
      <c r="C1275" s="168" t="s">
        <v>297</v>
      </c>
      <c r="D1275" s="169"/>
      <c r="E1275" s="170"/>
      <c r="F1275" s="165" t="s">
        <v>23</v>
      </c>
      <c r="G1275" s="173">
        <v>1</v>
      </c>
      <c r="H1275" s="174">
        <f>VLOOKUP(C1275,'UPAH-BAHAN'!D:F,2,0)</f>
        <v>10000</v>
      </c>
      <c r="I1275" s="177">
        <f>G1275*H1275</f>
        <v>10000</v>
      </c>
    </row>
    <row r="1276" spans="1:10" outlineLevel="1">
      <c r="B1276" s="165"/>
      <c r="C1276" s="168" t="s">
        <v>301</v>
      </c>
      <c r="D1276" s="169"/>
      <c r="E1276" s="170"/>
      <c r="F1276" s="165" t="s">
        <v>23</v>
      </c>
      <c r="G1276" s="173">
        <v>2</v>
      </c>
      <c r="H1276" s="174">
        <f>VLOOKUP(C1276,'UPAH-BAHAN'!D:F,2,0)</f>
        <v>15000</v>
      </c>
      <c r="I1276" s="177">
        <f>G1276*H1276</f>
        <v>30000</v>
      </c>
    </row>
    <row r="1277" spans="1:10" outlineLevel="1">
      <c r="B1277" s="165"/>
      <c r="C1277" s="168" t="s">
        <v>298</v>
      </c>
      <c r="D1277" s="169"/>
      <c r="E1277" s="170"/>
      <c r="F1277" s="165" t="s">
        <v>23</v>
      </c>
      <c r="G1277" s="173">
        <v>1</v>
      </c>
      <c r="H1277" s="174">
        <f>VLOOKUP(C1277,'UPAH-BAHAN'!D:F,2,0)</f>
        <v>12000</v>
      </c>
      <c r="I1277" s="177">
        <f>G1277*H1277</f>
        <v>12000</v>
      </c>
    </row>
    <row r="1278" spans="1:10" outlineLevel="1">
      <c r="B1278" s="165"/>
      <c r="C1278" s="168" t="s">
        <v>294</v>
      </c>
      <c r="D1278" s="169"/>
      <c r="E1278" s="170"/>
      <c r="F1278" s="165" t="s">
        <v>20</v>
      </c>
      <c r="G1278" s="173">
        <v>1</v>
      </c>
      <c r="H1278" s="174">
        <v>10000</v>
      </c>
      <c r="I1278" s="631">
        <f>H1278*G1278</f>
        <v>10000</v>
      </c>
    </row>
    <row r="1279" spans="1:10" outlineLevel="1">
      <c r="B1279" s="165"/>
      <c r="C1279" s="168"/>
      <c r="D1279" s="169"/>
      <c r="E1279" s="170"/>
      <c r="F1279" s="170"/>
      <c r="G1279" s="340" t="s">
        <v>156</v>
      </c>
      <c r="H1279" s="177"/>
      <c r="I1279" s="177">
        <f>SUM(I1275:I1278)</f>
        <v>62000</v>
      </c>
    </row>
    <row r="1280" spans="1:10" outlineLevel="1">
      <c r="B1280" s="165" t="s">
        <v>157</v>
      </c>
      <c r="C1280" s="168" t="s">
        <v>158</v>
      </c>
      <c r="D1280" s="169"/>
      <c r="E1280" s="170"/>
      <c r="F1280" s="170"/>
      <c r="G1280" s="170"/>
      <c r="H1280" s="177"/>
      <c r="I1280" s="177"/>
    </row>
    <row r="1281" spans="1:10" outlineLevel="1">
      <c r="B1281" s="165"/>
      <c r="C1281" s="168"/>
      <c r="D1281" s="169"/>
      <c r="E1281" s="170"/>
      <c r="F1281" s="170"/>
      <c r="G1281" s="170"/>
      <c r="H1281" s="177"/>
      <c r="I1281" s="177"/>
    </row>
    <row r="1282" spans="1:10" outlineLevel="1">
      <c r="B1282" s="165"/>
      <c r="C1282" s="168"/>
      <c r="D1282" s="169"/>
      <c r="E1282" s="170"/>
      <c r="F1282" s="170"/>
      <c r="G1282" s="340" t="s">
        <v>159</v>
      </c>
      <c r="H1282" s="177"/>
      <c r="I1282" s="177"/>
    </row>
    <row r="1283" spans="1:10" outlineLevel="1">
      <c r="B1283" s="165"/>
      <c r="C1283" s="168"/>
      <c r="D1283" s="169"/>
      <c r="E1283" s="170"/>
      <c r="F1283" s="170"/>
      <c r="G1283" s="170"/>
      <c r="H1283" s="177"/>
      <c r="I1283" s="177">
        <f>SUM(I1282)</f>
        <v>0</v>
      </c>
    </row>
    <row r="1284" spans="1:10" outlineLevel="1">
      <c r="B1284" s="165" t="s">
        <v>160</v>
      </c>
      <c r="C1284" s="168" t="s">
        <v>161</v>
      </c>
      <c r="D1284" s="169"/>
      <c r="E1284" s="171"/>
      <c r="F1284" s="171"/>
      <c r="G1284" s="165"/>
      <c r="H1284" s="177"/>
      <c r="I1284" s="177">
        <f>I1273+I1279+I1283</f>
        <v>91925</v>
      </c>
    </row>
    <row r="1285" spans="1:10" outlineLevel="1">
      <c r="B1285" s="165" t="s">
        <v>162</v>
      </c>
      <c r="C1285" s="168" t="s">
        <v>82</v>
      </c>
      <c r="D1285" s="169"/>
      <c r="E1285" s="194"/>
      <c r="F1285" s="179"/>
      <c r="G1285" s="180">
        <f>$J$3</f>
        <v>0.15</v>
      </c>
      <c r="H1285" s="171"/>
      <c r="I1285" s="175">
        <f>I1284*G1285</f>
        <v>13788.75</v>
      </c>
    </row>
    <row r="1286" spans="1:10" outlineLevel="1">
      <c r="B1286" s="165" t="s">
        <v>163</v>
      </c>
      <c r="C1286" s="168" t="s">
        <v>164</v>
      </c>
      <c r="D1286" s="169"/>
      <c r="E1286" s="171"/>
      <c r="F1286" s="171"/>
      <c r="G1286" s="165"/>
      <c r="H1286" s="177"/>
      <c r="I1286" s="177">
        <f>I1284+I1285</f>
        <v>105713.75</v>
      </c>
    </row>
    <row r="1287" spans="1:10" outlineLevel="1"/>
    <row r="1288" spans="1:10">
      <c r="A1288" s="159" t="str">
        <f>B1288</f>
        <v>Hit. EL.5</v>
      </c>
      <c r="B1288" s="167" t="s">
        <v>304</v>
      </c>
      <c r="C1288" s="159"/>
      <c r="D1288" s="159" t="s">
        <v>305</v>
      </c>
      <c r="E1288" s="159"/>
      <c r="F1288" s="159"/>
      <c r="G1288" s="163"/>
      <c r="H1288" s="161"/>
      <c r="I1288" s="160"/>
      <c r="J1288" s="162">
        <f>I1307</f>
        <v>149413.75</v>
      </c>
    </row>
    <row r="1289" spans="1:10" ht="31.2" outlineLevel="1">
      <c r="A1289" s="163"/>
      <c r="B1289" s="164" t="s">
        <v>75</v>
      </c>
      <c r="C1289" s="1254" t="s">
        <v>140</v>
      </c>
      <c r="D1289" s="1255"/>
      <c r="E1289" s="164" t="s">
        <v>141</v>
      </c>
      <c r="F1289" s="164" t="s">
        <v>142</v>
      </c>
      <c r="G1289" s="164" t="s">
        <v>143</v>
      </c>
      <c r="H1289" s="165" t="s">
        <v>144</v>
      </c>
      <c r="I1289" s="165" t="s">
        <v>145</v>
      </c>
      <c r="J1289" s="166"/>
    </row>
    <row r="1290" spans="1:10" outlineLevel="1">
      <c r="B1290" s="165" t="s">
        <v>146</v>
      </c>
      <c r="C1290" s="168" t="s">
        <v>147</v>
      </c>
      <c r="D1290" s="169"/>
      <c r="E1290" s="170"/>
      <c r="F1290" s="170"/>
      <c r="G1290" s="170"/>
      <c r="H1290" s="171"/>
      <c r="I1290" s="171"/>
    </row>
    <row r="1291" spans="1:10" outlineLevel="1">
      <c r="B1291" s="165"/>
      <c r="C1291" s="168" t="s">
        <v>77</v>
      </c>
      <c r="D1291" s="169"/>
      <c r="E1291" s="165" t="s">
        <v>148</v>
      </c>
      <c r="F1291" s="165" t="s">
        <v>76</v>
      </c>
      <c r="G1291" s="173">
        <v>0.1</v>
      </c>
      <c r="H1291" s="174">
        <f>VLOOKUP(C1291,'UPAH-BAHAN'!D:F,2,0)</f>
        <v>120000</v>
      </c>
      <c r="I1291" s="177">
        <f>G1291*H1291</f>
        <v>12000</v>
      </c>
    </row>
    <row r="1292" spans="1:10" outlineLevel="1">
      <c r="B1292" s="165"/>
      <c r="C1292" s="168" t="s">
        <v>97</v>
      </c>
      <c r="D1292" s="169"/>
      <c r="E1292" s="165" t="s">
        <v>149</v>
      </c>
      <c r="F1292" s="165" t="s">
        <v>76</v>
      </c>
      <c r="G1292" s="173">
        <v>0.1</v>
      </c>
      <c r="H1292" s="174">
        <f>VLOOKUP(C1292,'UPAH-BAHAN'!D:F,2,0)</f>
        <v>160000</v>
      </c>
      <c r="I1292" s="177">
        <f>G1292*H1292</f>
        <v>16000</v>
      </c>
    </row>
    <row r="1293" spans="1:10" outlineLevel="1">
      <c r="B1293" s="165"/>
      <c r="C1293" s="168" t="s">
        <v>99</v>
      </c>
      <c r="D1293" s="169"/>
      <c r="E1293" s="165" t="s">
        <v>150</v>
      </c>
      <c r="F1293" s="165" t="s">
        <v>76</v>
      </c>
      <c r="G1293" s="165">
        <v>0.01</v>
      </c>
      <c r="H1293" s="174">
        <f>VLOOKUP(C1293,'UPAH-BAHAN'!D:F,2,0)</f>
        <v>170000</v>
      </c>
      <c r="I1293" s="177">
        <f>G1293*H1293</f>
        <v>1700</v>
      </c>
    </row>
    <row r="1294" spans="1:10" outlineLevel="1">
      <c r="B1294" s="165"/>
      <c r="C1294" s="168" t="s">
        <v>80</v>
      </c>
      <c r="D1294" s="169"/>
      <c r="E1294" s="165" t="s">
        <v>151</v>
      </c>
      <c r="F1294" s="165" t="s">
        <v>76</v>
      </c>
      <c r="G1294" s="165">
        <v>1E-3</v>
      </c>
      <c r="H1294" s="174">
        <f>VLOOKUP(C1294,'UPAH-BAHAN'!D:F,2,0)</f>
        <v>225000</v>
      </c>
      <c r="I1294" s="177">
        <f>G1294*H1294</f>
        <v>225</v>
      </c>
    </row>
    <row r="1295" spans="1:10" outlineLevel="1">
      <c r="B1295" s="165"/>
      <c r="C1295" s="168"/>
      <c r="D1295" s="169"/>
      <c r="E1295" s="170"/>
      <c r="F1295" s="170"/>
      <c r="G1295" s="340" t="s">
        <v>152</v>
      </c>
      <c r="H1295" s="177"/>
      <c r="I1295" s="177">
        <f>SUM(I1291:I1294)</f>
        <v>29925</v>
      </c>
    </row>
    <row r="1296" spans="1:10" outlineLevel="1">
      <c r="B1296" s="165" t="s">
        <v>153</v>
      </c>
      <c r="C1296" s="168" t="s">
        <v>154</v>
      </c>
      <c r="D1296" s="169"/>
      <c r="E1296" s="170"/>
      <c r="F1296" s="170"/>
      <c r="G1296" s="170"/>
      <c r="H1296" s="177"/>
      <c r="I1296" s="177"/>
    </row>
    <row r="1297" spans="1:10" outlineLevel="1">
      <c r="B1297" s="165"/>
      <c r="C1297" s="168" t="s">
        <v>306</v>
      </c>
      <c r="D1297" s="169"/>
      <c r="E1297" s="170"/>
      <c r="F1297" s="165" t="s">
        <v>23</v>
      </c>
      <c r="G1297" s="173">
        <v>1</v>
      </c>
      <c r="H1297" s="174">
        <f>VLOOKUP(C1297,'UPAH-BAHAN'!D:F,2,0)</f>
        <v>40000</v>
      </c>
      <c r="I1297" s="177">
        <f>G1297*H1297</f>
        <v>40000</v>
      </c>
    </row>
    <row r="1298" spans="1:10" outlineLevel="1">
      <c r="B1298" s="165"/>
      <c r="C1298" s="168" t="s">
        <v>307</v>
      </c>
      <c r="D1298" s="169"/>
      <c r="E1298" s="170"/>
      <c r="F1298" s="165" t="s">
        <v>23</v>
      </c>
      <c r="G1298" s="173">
        <v>1</v>
      </c>
      <c r="H1298" s="174">
        <f>VLOOKUP(C1298,'UPAH-BAHAN'!D:F,2,0)</f>
        <v>50000</v>
      </c>
      <c r="I1298" s="177">
        <f>G1298*H1298</f>
        <v>50000</v>
      </c>
    </row>
    <row r="1299" spans="1:10" outlineLevel="1">
      <c r="B1299" s="165"/>
      <c r="C1299" s="168" t="s">
        <v>294</v>
      </c>
      <c r="D1299" s="169"/>
      <c r="E1299" s="170"/>
      <c r="F1299" s="165" t="s">
        <v>20</v>
      </c>
      <c r="G1299" s="173">
        <v>1</v>
      </c>
      <c r="H1299" s="174">
        <v>10000</v>
      </c>
      <c r="I1299" s="631">
        <f>H1299*G1299</f>
        <v>10000</v>
      </c>
    </row>
    <row r="1300" spans="1:10" outlineLevel="1">
      <c r="B1300" s="165"/>
      <c r="C1300" s="168"/>
      <c r="D1300" s="169"/>
      <c r="E1300" s="170"/>
      <c r="F1300" s="170"/>
      <c r="G1300" s="340" t="s">
        <v>156</v>
      </c>
      <c r="H1300" s="177"/>
      <c r="I1300" s="177">
        <f>SUM(I1297:I1299)</f>
        <v>100000</v>
      </c>
    </row>
    <row r="1301" spans="1:10" outlineLevel="1">
      <c r="B1301" s="165" t="s">
        <v>157</v>
      </c>
      <c r="C1301" s="168" t="s">
        <v>158</v>
      </c>
      <c r="D1301" s="169"/>
      <c r="E1301" s="170"/>
      <c r="F1301" s="170"/>
      <c r="G1301" s="170"/>
      <c r="H1301" s="177"/>
      <c r="I1301" s="177"/>
    </row>
    <row r="1302" spans="1:10" outlineLevel="1">
      <c r="B1302" s="165"/>
      <c r="C1302" s="168"/>
      <c r="D1302" s="169"/>
      <c r="E1302" s="170"/>
      <c r="F1302" s="170"/>
      <c r="G1302" s="170"/>
      <c r="H1302" s="177"/>
      <c r="I1302" s="177"/>
    </row>
    <row r="1303" spans="1:10" outlineLevel="1">
      <c r="B1303" s="165"/>
      <c r="C1303" s="168"/>
      <c r="D1303" s="169"/>
      <c r="E1303" s="170"/>
      <c r="F1303" s="170"/>
      <c r="G1303" s="340" t="s">
        <v>159</v>
      </c>
      <c r="H1303" s="177"/>
      <c r="I1303" s="177"/>
    </row>
    <row r="1304" spans="1:10" outlineLevel="1">
      <c r="B1304" s="165"/>
      <c r="C1304" s="168"/>
      <c r="D1304" s="169"/>
      <c r="E1304" s="170"/>
      <c r="F1304" s="170"/>
      <c r="G1304" s="170"/>
      <c r="H1304" s="177"/>
      <c r="I1304" s="177">
        <f>SUM(I1303)</f>
        <v>0</v>
      </c>
    </row>
    <row r="1305" spans="1:10" outlineLevel="1">
      <c r="B1305" s="165" t="s">
        <v>160</v>
      </c>
      <c r="C1305" s="168" t="s">
        <v>161</v>
      </c>
      <c r="D1305" s="169"/>
      <c r="E1305" s="171"/>
      <c r="F1305" s="171"/>
      <c r="G1305" s="165"/>
      <c r="H1305" s="177"/>
      <c r="I1305" s="177">
        <f>I1295+I1300+I1304</f>
        <v>129925</v>
      </c>
    </row>
    <row r="1306" spans="1:10" outlineLevel="1">
      <c r="B1306" s="165" t="s">
        <v>162</v>
      </c>
      <c r="C1306" s="168" t="s">
        <v>82</v>
      </c>
      <c r="D1306" s="169"/>
      <c r="E1306" s="194"/>
      <c r="F1306" s="179"/>
      <c r="G1306" s="180">
        <f>$J$3</f>
        <v>0.15</v>
      </c>
      <c r="H1306" s="171"/>
      <c r="I1306" s="175">
        <f>I1305*G1306</f>
        <v>19488.75</v>
      </c>
    </row>
    <row r="1307" spans="1:10" outlineLevel="1">
      <c r="B1307" s="165" t="s">
        <v>163</v>
      </c>
      <c r="C1307" s="168" t="s">
        <v>164</v>
      </c>
      <c r="D1307" s="169"/>
      <c r="E1307" s="171"/>
      <c r="F1307" s="171"/>
      <c r="G1307" s="165"/>
      <c r="H1307" s="177"/>
      <c r="I1307" s="177">
        <f>I1305+I1306</f>
        <v>149413.75</v>
      </c>
    </row>
    <row r="1308" spans="1:10" outlineLevel="1"/>
    <row r="1309" spans="1:10">
      <c r="A1309" s="159" t="str">
        <f>B1309</f>
        <v>Hit. EL.6</v>
      </c>
      <c r="B1309" s="167" t="s">
        <v>607</v>
      </c>
      <c r="C1309" s="159"/>
      <c r="D1309" s="159" t="s">
        <v>610</v>
      </c>
      <c r="E1309" s="159"/>
      <c r="F1309" s="159"/>
      <c r="G1309" s="163"/>
      <c r="H1309" s="161"/>
      <c r="I1309" s="160"/>
      <c r="J1309" s="162">
        <f>I1328</f>
        <v>436913.75</v>
      </c>
    </row>
    <row r="1310" spans="1:10" ht="31.2" outlineLevel="1">
      <c r="A1310" s="163"/>
      <c r="B1310" s="164" t="s">
        <v>75</v>
      </c>
      <c r="C1310" s="1254" t="s">
        <v>140</v>
      </c>
      <c r="D1310" s="1255"/>
      <c r="E1310" s="164" t="s">
        <v>141</v>
      </c>
      <c r="F1310" s="164" t="s">
        <v>142</v>
      </c>
      <c r="G1310" s="164" t="s">
        <v>143</v>
      </c>
      <c r="H1310" s="165" t="s">
        <v>144</v>
      </c>
      <c r="I1310" s="165" t="s">
        <v>145</v>
      </c>
      <c r="J1310" s="166"/>
    </row>
    <row r="1311" spans="1:10" outlineLevel="1">
      <c r="B1311" s="165" t="s">
        <v>146</v>
      </c>
      <c r="C1311" s="168" t="s">
        <v>147</v>
      </c>
      <c r="D1311" s="169"/>
      <c r="E1311" s="170"/>
      <c r="F1311" s="170"/>
      <c r="G1311" s="170"/>
      <c r="H1311" s="171"/>
      <c r="I1311" s="171"/>
    </row>
    <row r="1312" spans="1:10" outlineLevel="1">
      <c r="B1312" s="165"/>
      <c r="C1312" s="168" t="s">
        <v>77</v>
      </c>
      <c r="D1312" s="169"/>
      <c r="E1312" s="165" t="s">
        <v>148</v>
      </c>
      <c r="F1312" s="165" t="s">
        <v>76</v>
      </c>
      <c r="G1312" s="173">
        <v>0.1</v>
      </c>
      <c r="H1312" s="174">
        <f>VLOOKUP(C1312,'UPAH-BAHAN'!D:F,2,0)</f>
        <v>120000</v>
      </c>
      <c r="I1312" s="177">
        <f>G1312*H1312</f>
        <v>12000</v>
      </c>
    </row>
    <row r="1313" spans="2:9" outlineLevel="1">
      <c r="B1313" s="165"/>
      <c r="C1313" s="168" t="s">
        <v>97</v>
      </c>
      <c r="D1313" s="169"/>
      <c r="E1313" s="165" t="s">
        <v>149</v>
      </c>
      <c r="F1313" s="165" t="s">
        <v>76</v>
      </c>
      <c r="G1313" s="173">
        <v>0.1</v>
      </c>
      <c r="H1313" s="174">
        <f>VLOOKUP(C1313,'UPAH-BAHAN'!D:F,2,0)</f>
        <v>160000</v>
      </c>
      <c r="I1313" s="177">
        <f>G1313*H1313</f>
        <v>16000</v>
      </c>
    </row>
    <row r="1314" spans="2:9" outlineLevel="1">
      <c r="B1314" s="165"/>
      <c r="C1314" s="168" t="s">
        <v>99</v>
      </c>
      <c r="D1314" s="169"/>
      <c r="E1314" s="165" t="s">
        <v>150</v>
      </c>
      <c r="F1314" s="165" t="s">
        <v>76</v>
      </c>
      <c r="G1314" s="165">
        <v>0.01</v>
      </c>
      <c r="H1314" s="174">
        <f>VLOOKUP(C1314,'UPAH-BAHAN'!D:F,2,0)</f>
        <v>170000</v>
      </c>
      <c r="I1314" s="177">
        <f>G1314*H1314</f>
        <v>1700</v>
      </c>
    </row>
    <row r="1315" spans="2:9" outlineLevel="1">
      <c r="B1315" s="165"/>
      <c r="C1315" s="168" t="s">
        <v>80</v>
      </c>
      <c r="D1315" s="169"/>
      <c r="E1315" s="165" t="s">
        <v>151</v>
      </c>
      <c r="F1315" s="165" t="s">
        <v>76</v>
      </c>
      <c r="G1315" s="165">
        <v>1E-3</v>
      </c>
      <c r="H1315" s="174">
        <f>VLOOKUP(C1315,'UPAH-BAHAN'!D:F,2,0)</f>
        <v>225000</v>
      </c>
      <c r="I1315" s="177">
        <f>G1315*H1315</f>
        <v>225</v>
      </c>
    </row>
    <row r="1316" spans="2:9" outlineLevel="1">
      <c r="B1316" s="165"/>
      <c r="C1316" s="168"/>
      <c r="D1316" s="169"/>
      <c r="E1316" s="170"/>
      <c r="F1316" s="170"/>
      <c r="G1316" s="340" t="s">
        <v>152</v>
      </c>
      <c r="H1316" s="177"/>
      <c r="I1316" s="177">
        <f>SUM(I1312:I1315)</f>
        <v>29925</v>
      </c>
    </row>
    <row r="1317" spans="2:9" outlineLevel="1">
      <c r="B1317" s="165" t="s">
        <v>153</v>
      </c>
      <c r="C1317" s="168" t="s">
        <v>154</v>
      </c>
      <c r="D1317" s="169"/>
      <c r="E1317" s="170"/>
      <c r="F1317" s="170"/>
      <c r="G1317" s="170"/>
      <c r="H1317" s="177"/>
      <c r="I1317" s="177"/>
    </row>
    <row r="1318" spans="2:9" outlineLevel="1">
      <c r="B1318" s="165"/>
      <c r="C1318" s="168" t="s">
        <v>608</v>
      </c>
      <c r="D1318" s="169"/>
      <c r="E1318" s="165"/>
      <c r="F1318" s="165" t="s">
        <v>62</v>
      </c>
      <c r="G1318" s="165">
        <v>1</v>
      </c>
      <c r="H1318" s="174">
        <f>VLOOKUP(C1318,'UPAH-BAHAN'!D:F,2,0)</f>
        <v>210000</v>
      </c>
      <c r="I1318" s="177">
        <f>G1318*H1318</f>
        <v>210000</v>
      </c>
    </row>
    <row r="1319" spans="2:9" outlineLevel="1">
      <c r="B1319" s="165"/>
      <c r="C1319" s="168" t="s">
        <v>609</v>
      </c>
      <c r="D1319" s="169"/>
      <c r="E1319" s="165"/>
      <c r="F1319" s="165" t="s">
        <v>23</v>
      </c>
      <c r="G1319" s="165">
        <v>2</v>
      </c>
      <c r="H1319" s="174">
        <f>VLOOKUP(C1319,'UPAH-BAHAN'!D:F,2,0)</f>
        <v>65000</v>
      </c>
      <c r="I1319" s="177">
        <f>G1319*H1319</f>
        <v>130000</v>
      </c>
    </row>
    <row r="1320" spans="2:9" outlineLevel="1">
      <c r="B1320" s="165"/>
      <c r="C1320" s="168" t="s">
        <v>294</v>
      </c>
      <c r="D1320" s="169"/>
      <c r="E1320" s="165"/>
      <c r="F1320" s="165" t="s">
        <v>20</v>
      </c>
      <c r="G1320" s="173">
        <v>1</v>
      </c>
      <c r="H1320" s="174">
        <v>10000</v>
      </c>
      <c r="I1320" s="631">
        <f>H1320*G1320</f>
        <v>10000</v>
      </c>
    </row>
    <row r="1321" spans="2:9" outlineLevel="1">
      <c r="B1321" s="165"/>
      <c r="C1321" s="168"/>
      <c r="D1321" s="169"/>
      <c r="E1321" s="170"/>
      <c r="F1321" s="170"/>
      <c r="G1321" s="340" t="s">
        <v>156</v>
      </c>
      <c r="H1321" s="177"/>
      <c r="I1321" s="177">
        <f>SUM(I1318:I1320)</f>
        <v>350000</v>
      </c>
    </row>
    <row r="1322" spans="2:9" outlineLevel="1">
      <c r="B1322" s="165" t="s">
        <v>157</v>
      </c>
      <c r="C1322" s="168" t="s">
        <v>158</v>
      </c>
      <c r="D1322" s="169"/>
      <c r="E1322" s="170"/>
      <c r="F1322" s="170"/>
      <c r="G1322" s="170"/>
      <c r="H1322" s="177"/>
      <c r="I1322" s="177"/>
    </row>
    <row r="1323" spans="2:9" outlineLevel="1">
      <c r="B1323" s="165"/>
      <c r="C1323" s="168"/>
      <c r="D1323" s="169"/>
      <c r="E1323" s="170"/>
      <c r="F1323" s="170"/>
      <c r="G1323" s="170"/>
      <c r="H1323" s="177"/>
      <c r="I1323" s="177"/>
    </row>
    <row r="1324" spans="2:9" outlineLevel="1">
      <c r="B1324" s="165"/>
      <c r="C1324" s="168"/>
      <c r="D1324" s="169"/>
      <c r="E1324" s="170"/>
      <c r="F1324" s="170"/>
      <c r="G1324" s="340" t="s">
        <v>159</v>
      </c>
      <c r="H1324" s="177"/>
      <c r="I1324" s="177"/>
    </row>
    <row r="1325" spans="2:9" outlineLevel="1">
      <c r="B1325" s="165"/>
      <c r="C1325" s="168"/>
      <c r="D1325" s="169"/>
      <c r="E1325" s="170"/>
      <c r="F1325" s="170"/>
      <c r="G1325" s="170"/>
      <c r="H1325" s="177"/>
      <c r="I1325" s="177">
        <f>SUM(I1324)</f>
        <v>0</v>
      </c>
    </row>
    <row r="1326" spans="2:9" outlineLevel="1">
      <c r="B1326" s="165" t="s">
        <v>160</v>
      </c>
      <c r="C1326" s="168" t="s">
        <v>161</v>
      </c>
      <c r="D1326" s="169"/>
      <c r="E1326" s="171"/>
      <c r="F1326" s="171"/>
      <c r="G1326" s="165"/>
      <c r="H1326" s="177"/>
      <c r="I1326" s="177">
        <f>I1316+I1321+I1325</f>
        <v>379925</v>
      </c>
    </row>
    <row r="1327" spans="2:9" outlineLevel="1">
      <c r="B1327" s="165" t="s">
        <v>162</v>
      </c>
      <c r="C1327" s="168" t="s">
        <v>82</v>
      </c>
      <c r="D1327" s="169"/>
      <c r="E1327" s="194"/>
      <c r="F1327" s="179"/>
      <c r="G1327" s="180">
        <f>$J$3</f>
        <v>0.15</v>
      </c>
      <c r="H1327" s="171"/>
      <c r="I1327" s="175">
        <f>I1326*G1327</f>
        <v>56988.75</v>
      </c>
    </row>
    <row r="1328" spans="2:9" outlineLevel="1">
      <c r="B1328" s="165" t="s">
        <v>163</v>
      </c>
      <c r="C1328" s="168" t="s">
        <v>164</v>
      </c>
      <c r="D1328" s="169"/>
      <c r="E1328" s="171"/>
      <c r="F1328" s="171"/>
      <c r="G1328" s="165"/>
      <c r="H1328" s="177"/>
      <c r="I1328" s="177">
        <f>I1326+I1327</f>
        <v>436913.75</v>
      </c>
    </row>
    <row r="1329" spans="1:10" outlineLevel="1"/>
    <row r="1330" spans="1:10">
      <c r="A1330" s="159" t="str">
        <f>B1330</f>
        <v>Hit. EL.7</v>
      </c>
      <c r="B1330" s="167" t="s">
        <v>613</v>
      </c>
      <c r="C1330" s="159"/>
      <c r="D1330" s="159" t="s">
        <v>768</v>
      </c>
      <c r="E1330" s="159"/>
      <c r="F1330" s="159"/>
      <c r="G1330" s="163"/>
      <c r="H1330" s="161"/>
      <c r="I1330" s="160"/>
      <c r="J1330" s="162">
        <f>I1349</f>
        <v>121813.75</v>
      </c>
    </row>
    <row r="1331" spans="1:10" ht="31.2" outlineLevel="1">
      <c r="A1331" s="163"/>
      <c r="B1331" s="164" t="s">
        <v>75</v>
      </c>
      <c r="C1331" s="1254" t="s">
        <v>140</v>
      </c>
      <c r="D1331" s="1255"/>
      <c r="E1331" s="164" t="s">
        <v>141</v>
      </c>
      <c r="F1331" s="164" t="s">
        <v>142</v>
      </c>
      <c r="G1331" s="164" t="s">
        <v>143</v>
      </c>
      <c r="H1331" s="165" t="s">
        <v>144</v>
      </c>
      <c r="I1331" s="165" t="s">
        <v>145</v>
      </c>
      <c r="J1331" s="166"/>
    </row>
    <row r="1332" spans="1:10" outlineLevel="1">
      <c r="B1332" s="165" t="s">
        <v>146</v>
      </c>
      <c r="C1332" s="168" t="s">
        <v>147</v>
      </c>
      <c r="D1332" s="169"/>
      <c r="E1332" s="170"/>
      <c r="F1332" s="170"/>
      <c r="G1332" s="170"/>
      <c r="H1332" s="171"/>
      <c r="I1332" s="171"/>
    </row>
    <row r="1333" spans="1:10" outlineLevel="1">
      <c r="B1333" s="165"/>
      <c r="C1333" s="168" t="s">
        <v>77</v>
      </c>
      <c r="D1333" s="169"/>
      <c r="E1333" s="165" t="s">
        <v>148</v>
      </c>
      <c r="F1333" s="165" t="s">
        <v>76</v>
      </c>
      <c r="G1333" s="173">
        <v>0.05</v>
      </c>
      <c r="H1333" s="174">
        <f>VLOOKUP(C1333,'UPAH-BAHAN'!D:F,2,0)</f>
        <v>120000</v>
      </c>
      <c r="I1333" s="177">
        <f>G1333*H1333</f>
        <v>6000</v>
      </c>
    </row>
    <row r="1334" spans="1:10" outlineLevel="1">
      <c r="B1334" s="165"/>
      <c r="C1334" s="168" t="s">
        <v>97</v>
      </c>
      <c r="D1334" s="169"/>
      <c r="E1334" s="165" t="s">
        <v>149</v>
      </c>
      <c r="F1334" s="165" t="s">
        <v>76</v>
      </c>
      <c r="G1334" s="173">
        <v>0.05</v>
      </c>
      <c r="H1334" s="174">
        <f>VLOOKUP(C1334,'UPAH-BAHAN'!D:F,2,0)</f>
        <v>160000</v>
      </c>
      <c r="I1334" s="177">
        <f>G1334*H1334</f>
        <v>8000</v>
      </c>
    </row>
    <row r="1335" spans="1:10" outlineLevel="1">
      <c r="B1335" s="165"/>
      <c r="C1335" s="168" t="s">
        <v>99</v>
      </c>
      <c r="D1335" s="169"/>
      <c r="E1335" s="165" t="s">
        <v>150</v>
      </c>
      <c r="F1335" s="165" t="s">
        <v>76</v>
      </c>
      <c r="G1335" s="165">
        <v>0.01</v>
      </c>
      <c r="H1335" s="174">
        <f>VLOOKUP(C1335,'UPAH-BAHAN'!D:F,2,0)</f>
        <v>170000</v>
      </c>
      <c r="I1335" s="177">
        <f>G1335*H1335</f>
        <v>1700</v>
      </c>
    </row>
    <row r="1336" spans="1:10" outlineLevel="1">
      <c r="B1336" s="165"/>
      <c r="C1336" s="168" t="s">
        <v>80</v>
      </c>
      <c r="D1336" s="169"/>
      <c r="E1336" s="165" t="s">
        <v>151</v>
      </c>
      <c r="F1336" s="165" t="s">
        <v>76</v>
      </c>
      <c r="G1336" s="165">
        <v>1E-3</v>
      </c>
      <c r="H1336" s="174">
        <f>VLOOKUP(C1336,'UPAH-BAHAN'!D:F,2,0)</f>
        <v>225000</v>
      </c>
      <c r="I1336" s="177">
        <f>G1336*H1336</f>
        <v>225</v>
      </c>
    </row>
    <row r="1337" spans="1:10" outlineLevel="1">
      <c r="B1337" s="165"/>
      <c r="C1337" s="168"/>
      <c r="D1337" s="169"/>
      <c r="E1337" s="170"/>
      <c r="F1337" s="170"/>
      <c r="G1337" s="340" t="s">
        <v>152</v>
      </c>
      <c r="H1337" s="177"/>
      <c r="I1337" s="177">
        <f>SUM(I1333:I1336)</f>
        <v>15925</v>
      </c>
    </row>
    <row r="1338" spans="1:10" outlineLevel="1">
      <c r="B1338" s="165" t="s">
        <v>153</v>
      </c>
      <c r="C1338" s="168" t="s">
        <v>154</v>
      </c>
      <c r="D1338" s="169"/>
      <c r="E1338" s="170"/>
      <c r="F1338" s="170"/>
      <c r="G1338" s="170"/>
      <c r="H1338" s="177"/>
      <c r="I1338" s="177"/>
    </row>
    <row r="1339" spans="1:10" outlineLevel="1">
      <c r="B1339" s="165"/>
      <c r="C1339" s="168" t="s">
        <v>769</v>
      </c>
      <c r="D1339" s="169"/>
      <c r="E1339" s="170"/>
      <c r="F1339" s="165" t="s">
        <v>62</v>
      </c>
      <c r="G1339" s="173">
        <v>1</v>
      </c>
      <c r="H1339" s="174">
        <f>VLOOKUP(C1339,'UPAH-BAHAN'!D:F,2,0)</f>
        <v>30000</v>
      </c>
      <c r="I1339" s="631">
        <f t="shared" ref="I1339" si="12">H1339*G1339</f>
        <v>30000</v>
      </c>
    </row>
    <row r="1340" spans="1:10" outlineLevel="1">
      <c r="B1340" s="165"/>
      <c r="C1340" s="168" t="s">
        <v>770</v>
      </c>
      <c r="D1340" s="169"/>
      <c r="E1340" s="170"/>
      <c r="F1340" s="165" t="s">
        <v>62</v>
      </c>
      <c r="G1340" s="173">
        <v>1</v>
      </c>
      <c r="H1340" s="174">
        <f>VLOOKUP(C1340,'UPAH-BAHAN'!D:F,2,0)</f>
        <v>50000</v>
      </c>
      <c r="I1340" s="631">
        <f t="shared" ref="I1340:I1341" si="13">H1340*G1340</f>
        <v>50000</v>
      </c>
    </row>
    <row r="1341" spans="1:10" outlineLevel="1">
      <c r="B1341" s="165"/>
      <c r="C1341" s="168" t="s">
        <v>294</v>
      </c>
      <c r="D1341" s="169"/>
      <c r="E1341" s="170"/>
      <c r="F1341" s="165" t="s">
        <v>20</v>
      </c>
      <c r="G1341" s="173">
        <v>1</v>
      </c>
      <c r="H1341" s="174">
        <v>10000</v>
      </c>
      <c r="I1341" s="631">
        <f t="shared" si="13"/>
        <v>10000</v>
      </c>
    </row>
    <row r="1342" spans="1:10" outlineLevel="1">
      <c r="B1342" s="165"/>
      <c r="C1342" s="168"/>
      <c r="D1342" s="169"/>
      <c r="E1342" s="170"/>
      <c r="F1342" s="170"/>
      <c r="G1342" s="340" t="s">
        <v>156</v>
      </c>
      <c r="H1342" s="177"/>
      <c r="I1342" s="177">
        <f>SUM(I1339:I1341)</f>
        <v>90000</v>
      </c>
    </row>
    <row r="1343" spans="1:10" outlineLevel="1">
      <c r="B1343" s="165" t="s">
        <v>157</v>
      </c>
      <c r="C1343" s="168" t="s">
        <v>158</v>
      </c>
      <c r="D1343" s="169"/>
      <c r="E1343" s="170"/>
      <c r="F1343" s="170"/>
      <c r="G1343" s="170"/>
      <c r="H1343" s="177"/>
      <c r="I1343" s="177"/>
    </row>
    <row r="1344" spans="1:10" outlineLevel="1">
      <c r="B1344" s="165"/>
      <c r="C1344" s="168"/>
      <c r="D1344" s="169"/>
      <c r="E1344" s="170"/>
      <c r="F1344" s="170"/>
      <c r="G1344" s="170"/>
      <c r="H1344" s="177"/>
      <c r="I1344" s="177"/>
    </row>
    <row r="1345" spans="1:10" outlineLevel="1">
      <c r="B1345" s="165"/>
      <c r="C1345" s="168"/>
      <c r="D1345" s="169"/>
      <c r="E1345" s="170"/>
      <c r="F1345" s="170"/>
      <c r="G1345" s="340" t="s">
        <v>159</v>
      </c>
      <c r="H1345" s="177"/>
      <c r="I1345" s="177"/>
    </row>
    <row r="1346" spans="1:10" outlineLevel="1">
      <c r="B1346" s="165"/>
      <c r="C1346" s="168"/>
      <c r="D1346" s="169"/>
      <c r="E1346" s="170"/>
      <c r="F1346" s="170"/>
      <c r="G1346" s="170"/>
      <c r="H1346" s="177"/>
      <c r="I1346" s="177">
        <f>SUM(I1345)</f>
        <v>0</v>
      </c>
    </row>
    <row r="1347" spans="1:10" outlineLevel="1">
      <c r="B1347" s="165" t="s">
        <v>160</v>
      </c>
      <c r="C1347" s="168" t="s">
        <v>161</v>
      </c>
      <c r="D1347" s="169"/>
      <c r="E1347" s="171"/>
      <c r="F1347" s="171"/>
      <c r="G1347" s="165"/>
      <c r="H1347" s="177"/>
      <c r="I1347" s="177">
        <f>I1337+I1342+I1346</f>
        <v>105925</v>
      </c>
    </row>
    <row r="1348" spans="1:10" outlineLevel="1">
      <c r="B1348" s="165" t="s">
        <v>162</v>
      </c>
      <c r="C1348" s="168" t="s">
        <v>82</v>
      </c>
      <c r="D1348" s="169"/>
      <c r="E1348" s="194"/>
      <c r="F1348" s="179"/>
      <c r="G1348" s="180">
        <f>$J$3</f>
        <v>0.15</v>
      </c>
      <c r="H1348" s="171"/>
      <c r="I1348" s="175">
        <f>I1347*G1348</f>
        <v>15888.75</v>
      </c>
    </row>
    <row r="1349" spans="1:10" outlineLevel="1">
      <c r="B1349" s="165" t="s">
        <v>163</v>
      </c>
      <c r="C1349" s="168" t="s">
        <v>164</v>
      </c>
      <c r="D1349" s="169"/>
      <c r="E1349" s="171"/>
      <c r="F1349" s="171"/>
      <c r="G1349" s="165"/>
      <c r="H1349" s="177"/>
      <c r="I1349" s="177">
        <f>I1347+I1348</f>
        <v>121813.75</v>
      </c>
    </row>
    <row r="1350" spans="1:10" outlineLevel="1"/>
    <row r="1351" spans="1:10">
      <c r="A1351" s="159" t="str">
        <f>B1351</f>
        <v>Hit. MCB</v>
      </c>
      <c r="B1351" s="167" t="s">
        <v>308</v>
      </c>
      <c r="C1351" s="159"/>
      <c r="D1351" s="159" t="s">
        <v>309</v>
      </c>
      <c r="E1351" s="159"/>
      <c r="F1351" s="159"/>
      <c r="G1351" s="163"/>
      <c r="H1351" s="161"/>
      <c r="I1351" s="160"/>
      <c r="J1351" s="162">
        <f>I1372</f>
        <v>748434.375</v>
      </c>
    </row>
    <row r="1352" spans="1:10" ht="31.2" outlineLevel="1">
      <c r="A1352" s="163"/>
      <c r="B1352" s="164" t="s">
        <v>75</v>
      </c>
      <c r="C1352" s="1254" t="s">
        <v>140</v>
      </c>
      <c r="D1352" s="1255"/>
      <c r="E1352" s="164" t="s">
        <v>141</v>
      </c>
      <c r="F1352" s="164" t="s">
        <v>142</v>
      </c>
      <c r="G1352" s="164" t="s">
        <v>143</v>
      </c>
      <c r="H1352" s="165" t="s">
        <v>144</v>
      </c>
      <c r="I1352" s="165" t="s">
        <v>145</v>
      </c>
      <c r="J1352" s="166"/>
    </row>
    <row r="1353" spans="1:10" outlineLevel="1">
      <c r="B1353" s="165" t="s">
        <v>146</v>
      </c>
      <c r="C1353" s="168" t="s">
        <v>147</v>
      </c>
      <c r="D1353" s="169"/>
      <c r="E1353" s="170"/>
      <c r="F1353" s="170"/>
      <c r="G1353" s="170"/>
      <c r="H1353" s="171"/>
      <c r="I1353" s="171"/>
    </row>
    <row r="1354" spans="1:10" outlineLevel="1">
      <c r="B1354" s="165"/>
      <c r="C1354" s="168" t="s">
        <v>77</v>
      </c>
      <c r="D1354" s="169"/>
      <c r="E1354" s="165" t="s">
        <v>148</v>
      </c>
      <c r="F1354" s="165" t="s">
        <v>76</v>
      </c>
      <c r="G1354" s="173">
        <v>0.25</v>
      </c>
      <c r="H1354" s="174">
        <f>VLOOKUP(C1354,'UPAH-BAHAN'!D:F,2,0)</f>
        <v>120000</v>
      </c>
      <c r="I1354" s="177">
        <f>G1354*H1354</f>
        <v>30000</v>
      </c>
    </row>
    <row r="1355" spans="1:10" outlineLevel="1">
      <c r="B1355" s="165"/>
      <c r="C1355" s="168" t="s">
        <v>97</v>
      </c>
      <c r="D1355" s="169"/>
      <c r="E1355" s="165" t="s">
        <v>149</v>
      </c>
      <c r="F1355" s="165" t="s">
        <v>76</v>
      </c>
      <c r="G1355" s="173">
        <v>0.25</v>
      </c>
      <c r="H1355" s="174">
        <f>VLOOKUP(C1355,'UPAH-BAHAN'!D:F,2,0)</f>
        <v>160000</v>
      </c>
      <c r="I1355" s="177">
        <f>G1355*H1355</f>
        <v>40000</v>
      </c>
    </row>
    <row r="1356" spans="1:10" outlineLevel="1">
      <c r="B1356" s="165"/>
      <c r="C1356" s="168" t="s">
        <v>99</v>
      </c>
      <c r="D1356" s="169"/>
      <c r="E1356" s="165" t="s">
        <v>150</v>
      </c>
      <c r="F1356" s="165" t="s">
        <v>76</v>
      </c>
      <c r="G1356" s="165">
        <v>2.5000000000000001E-2</v>
      </c>
      <c r="H1356" s="174">
        <f>VLOOKUP(C1356,'UPAH-BAHAN'!D:F,2,0)</f>
        <v>170000</v>
      </c>
      <c r="I1356" s="177">
        <f>G1356*H1356</f>
        <v>4250</v>
      </c>
    </row>
    <row r="1357" spans="1:10" outlineLevel="1">
      <c r="B1357" s="165"/>
      <c r="C1357" s="168" t="s">
        <v>80</v>
      </c>
      <c r="D1357" s="169"/>
      <c r="E1357" s="165" t="s">
        <v>151</v>
      </c>
      <c r="F1357" s="165" t="s">
        <v>76</v>
      </c>
      <c r="G1357" s="165">
        <v>2.5000000000000001E-3</v>
      </c>
      <c r="H1357" s="174">
        <f>VLOOKUP(C1357,'UPAH-BAHAN'!D:F,2,0)</f>
        <v>225000</v>
      </c>
      <c r="I1357" s="177">
        <f>G1357*H1357</f>
        <v>562.5</v>
      </c>
    </row>
    <row r="1358" spans="1:10" outlineLevel="1">
      <c r="B1358" s="165"/>
      <c r="C1358" s="168"/>
      <c r="D1358" s="169"/>
      <c r="E1358" s="170"/>
      <c r="F1358" s="170"/>
      <c r="G1358" s="340" t="s">
        <v>152</v>
      </c>
      <c r="H1358" s="177"/>
      <c r="I1358" s="177">
        <f>SUM(I1354:I1357)</f>
        <v>74812.5</v>
      </c>
    </row>
    <row r="1359" spans="1:10" outlineLevel="1">
      <c r="B1359" s="165" t="s">
        <v>153</v>
      </c>
      <c r="C1359" s="168" t="s">
        <v>154</v>
      </c>
      <c r="D1359" s="169"/>
      <c r="E1359" s="170"/>
      <c r="F1359" s="170"/>
      <c r="G1359" s="170"/>
      <c r="H1359" s="177"/>
      <c r="I1359" s="177"/>
    </row>
    <row r="1360" spans="1:10" outlineLevel="1">
      <c r="B1360" s="165"/>
      <c r="C1360" s="168" t="s">
        <v>310</v>
      </c>
      <c r="D1360" s="169"/>
      <c r="E1360" s="170"/>
      <c r="F1360" s="165" t="s">
        <v>23</v>
      </c>
      <c r="G1360" s="173">
        <v>1</v>
      </c>
      <c r="H1360" s="174">
        <f>VLOOKUP(C1360,'UPAH-BAHAN'!D:F,2,0)</f>
        <v>300000</v>
      </c>
      <c r="I1360" s="177">
        <f>G1360*H1360</f>
        <v>300000</v>
      </c>
    </row>
    <row r="1361" spans="1:12" outlineLevel="1">
      <c r="B1361" s="165"/>
      <c r="C1361" s="168" t="s">
        <v>311</v>
      </c>
      <c r="D1361" s="169"/>
      <c r="E1361" s="170"/>
      <c r="F1361" s="165" t="s">
        <v>23</v>
      </c>
      <c r="G1361" s="173">
        <v>1</v>
      </c>
      <c r="H1361" s="174">
        <f>VLOOKUP(C1361,'UPAH-BAHAN'!D:F,2,0)</f>
        <v>120000</v>
      </c>
      <c r="I1361" s="177">
        <f>G1361*H1361</f>
        <v>120000</v>
      </c>
    </row>
    <row r="1362" spans="1:12" outlineLevel="1">
      <c r="B1362" s="165"/>
      <c r="C1362" s="168" t="s">
        <v>312</v>
      </c>
      <c r="D1362" s="169"/>
      <c r="E1362" s="170"/>
      <c r="F1362" s="165" t="s">
        <v>21</v>
      </c>
      <c r="G1362" s="173">
        <v>10</v>
      </c>
      <c r="H1362" s="174">
        <f>VLOOKUP(C1362,'UPAH-BAHAN'!D:F,2,0)</f>
        <v>11000</v>
      </c>
      <c r="I1362" s="177">
        <f>G1362*H1362</f>
        <v>110000</v>
      </c>
    </row>
    <row r="1363" spans="1:12" outlineLevel="1">
      <c r="B1363" s="165"/>
      <c r="C1363" s="168" t="s">
        <v>293</v>
      </c>
      <c r="D1363" s="169"/>
      <c r="E1363" s="170"/>
      <c r="F1363" s="165" t="s">
        <v>137</v>
      </c>
      <c r="G1363" s="173">
        <v>3</v>
      </c>
      <c r="H1363" s="174">
        <f>VLOOKUP(C1363,'UPAH-BAHAN'!D:F,2,0)</f>
        <v>12000</v>
      </c>
      <c r="I1363" s="177">
        <f>G1363*H1363</f>
        <v>36000</v>
      </c>
    </row>
    <row r="1364" spans="1:12" outlineLevel="1">
      <c r="B1364" s="165"/>
      <c r="C1364" s="168" t="s">
        <v>294</v>
      </c>
      <c r="D1364" s="169"/>
      <c r="E1364" s="170"/>
      <c r="F1364" s="165" t="s">
        <v>20</v>
      </c>
      <c r="G1364" s="173">
        <v>1</v>
      </c>
      <c r="H1364" s="174">
        <v>10000</v>
      </c>
      <c r="I1364" s="631">
        <f>H1364*G1364</f>
        <v>10000</v>
      </c>
    </row>
    <row r="1365" spans="1:12" outlineLevel="1">
      <c r="B1365" s="165"/>
      <c r="C1365" s="168"/>
      <c r="D1365" s="169"/>
      <c r="E1365" s="170"/>
      <c r="F1365" s="170"/>
      <c r="G1365" s="340" t="s">
        <v>156</v>
      </c>
      <c r="H1365" s="177"/>
      <c r="I1365" s="177">
        <f>SUM(I1360:I1364)</f>
        <v>576000</v>
      </c>
    </row>
    <row r="1366" spans="1:12" outlineLevel="1">
      <c r="B1366" s="165" t="s">
        <v>157</v>
      </c>
      <c r="C1366" s="168" t="s">
        <v>158</v>
      </c>
      <c r="D1366" s="169"/>
      <c r="E1366" s="170"/>
      <c r="F1366" s="170"/>
      <c r="G1366" s="170"/>
      <c r="H1366" s="177"/>
      <c r="I1366" s="177"/>
    </row>
    <row r="1367" spans="1:12" outlineLevel="1">
      <c r="B1367" s="165"/>
      <c r="C1367" s="168"/>
      <c r="D1367" s="169"/>
      <c r="E1367" s="170"/>
      <c r="F1367" s="170"/>
      <c r="G1367" s="170"/>
      <c r="H1367" s="177"/>
      <c r="I1367" s="177"/>
    </row>
    <row r="1368" spans="1:12" outlineLevel="1">
      <c r="B1368" s="165"/>
      <c r="C1368" s="168"/>
      <c r="D1368" s="169"/>
      <c r="E1368" s="170"/>
      <c r="F1368" s="170"/>
      <c r="G1368" s="340" t="s">
        <v>159</v>
      </c>
      <c r="H1368" s="177"/>
      <c r="I1368" s="177"/>
    </row>
    <row r="1369" spans="1:12" outlineLevel="1">
      <c r="B1369" s="165"/>
      <c r="C1369" s="168"/>
      <c r="D1369" s="169"/>
      <c r="E1369" s="170"/>
      <c r="F1369" s="170"/>
      <c r="G1369" s="170"/>
      <c r="H1369" s="177"/>
      <c r="I1369" s="177">
        <f>SUM(I1368)</f>
        <v>0</v>
      </c>
    </row>
    <row r="1370" spans="1:12" outlineLevel="1">
      <c r="B1370" s="165" t="s">
        <v>160</v>
      </c>
      <c r="C1370" s="168" t="s">
        <v>161</v>
      </c>
      <c r="D1370" s="169"/>
      <c r="E1370" s="171"/>
      <c r="F1370" s="171"/>
      <c r="G1370" s="165"/>
      <c r="H1370" s="177"/>
      <c r="I1370" s="177">
        <f>I1358+I1365+I1369</f>
        <v>650812.5</v>
      </c>
    </row>
    <row r="1371" spans="1:12" outlineLevel="1">
      <c r="B1371" s="165" t="s">
        <v>162</v>
      </c>
      <c r="C1371" s="168" t="s">
        <v>82</v>
      </c>
      <c r="D1371" s="169"/>
      <c r="E1371" s="194"/>
      <c r="F1371" s="179"/>
      <c r="G1371" s="180">
        <f>$J$3</f>
        <v>0.15</v>
      </c>
      <c r="H1371" s="171"/>
      <c r="I1371" s="175">
        <f>I1370*G1371</f>
        <v>97621.875</v>
      </c>
    </row>
    <row r="1372" spans="1:12" outlineLevel="1">
      <c r="B1372" s="165" t="s">
        <v>163</v>
      </c>
      <c r="C1372" s="168" t="s">
        <v>164</v>
      </c>
      <c r="D1372" s="169"/>
      <c r="E1372" s="171"/>
      <c r="F1372" s="171"/>
      <c r="G1372" s="165"/>
      <c r="H1372" s="177"/>
      <c r="I1372" s="177">
        <f>I1370+I1371</f>
        <v>748434.375</v>
      </c>
    </row>
    <row r="1374" spans="1:12" ht="20.399999999999999">
      <c r="A1374" s="155"/>
      <c r="B1374" s="571" t="s">
        <v>467</v>
      </c>
      <c r="C1374" s="156"/>
      <c r="D1374" s="156"/>
      <c r="E1374" s="156"/>
      <c r="F1374" s="156"/>
      <c r="G1374" s="712"/>
      <c r="H1374" s="157"/>
      <c r="I1374" s="156"/>
      <c r="J1374" s="158"/>
      <c r="K1374" s="154" t="e">
        <f>VLOOKUP(A1374,#REF!,1,0)</f>
        <v>#REF!</v>
      </c>
    </row>
    <row r="1375" spans="1:12" s="2" customFormat="1" ht="15" customHeight="1">
      <c r="A1375" s="3" t="str">
        <f>B1375</f>
        <v>A.5.1.1.1.</v>
      </c>
      <c r="B1375" s="487" t="s">
        <v>733</v>
      </c>
      <c r="D1375" s="3" t="s">
        <v>734</v>
      </c>
      <c r="E1375" s="12"/>
      <c r="F1375" s="12"/>
      <c r="G1375" s="12"/>
      <c r="J1375" s="172">
        <f>I1393</f>
        <v>5594750</v>
      </c>
      <c r="L1375" s="758"/>
    </row>
    <row r="1376" spans="1:12" s="2" customFormat="1" ht="15" customHeight="1" outlineLevel="1">
      <c r="A1376" s="3"/>
      <c r="B1376" s="721" t="s">
        <v>75</v>
      </c>
      <c r="C1376" s="710" t="s">
        <v>140</v>
      </c>
      <c r="D1376" s="711"/>
      <c r="E1376" s="639" t="s">
        <v>141</v>
      </c>
      <c r="F1376" s="639" t="s">
        <v>142</v>
      </c>
      <c r="G1376" s="639" t="s">
        <v>143</v>
      </c>
      <c r="H1376" s="722" t="s">
        <v>144</v>
      </c>
      <c r="I1376" s="722" t="s">
        <v>145</v>
      </c>
      <c r="J1376" s="172"/>
      <c r="L1376" s="758"/>
    </row>
    <row r="1377" spans="1:12" s="2" customFormat="1" ht="15" customHeight="1" outlineLevel="1">
      <c r="A1377" s="3"/>
      <c r="B1377" s="723" t="s">
        <v>146</v>
      </c>
      <c r="C1377" s="644" t="s">
        <v>147</v>
      </c>
      <c r="D1377" s="652"/>
      <c r="E1377" s="641"/>
      <c r="F1377" s="724"/>
      <c r="G1377" s="724"/>
      <c r="H1377" s="722"/>
      <c r="I1377" s="722"/>
      <c r="J1377" s="172"/>
      <c r="L1377" s="758"/>
    </row>
    <row r="1378" spans="1:12" s="2" customFormat="1" ht="15" customHeight="1" outlineLevel="1">
      <c r="A1378" s="3"/>
      <c r="B1378" s="723"/>
      <c r="C1378" s="644" t="s">
        <v>77</v>
      </c>
      <c r="D1378" s="652"/>
      <c r="E1378" s="640" t="s">
        <v>148</v>
      </c>
      <c r="F1378" s="725" t="s">
        <v>76</v>
      </c>
      <c r="G1378" s="665">
        <v>3.3</v>
      </c>
      <c r="H1378" s="174">
        <f>VLOOKUP(C1378,'UPAH-BAHAN'!D:F,2,0)</f>
        <v>120000</v>
      </c>
      <c r="I1378" s="722">
        <f>H1378*G1378</f>
        <v>396000</v>
      </c>
      <c r="J1378" s="172"/>
      <c r="L1378" s="758"/>
    </row>
    <row r="1379" spans="1:12" s="2" customFormat="1" ht="15" customHeight="1" outlineLevel="1">
      <c r="A1379" s="3"/>
      <c r="B1379" s="723"/>
      <c r="C1379" s="644" t="s">
        <v>96</v>
      </c>
      <c r="D1379" s="652"/>
      <c r="E1379" s="640" t="s">
        <v>149</v>
      </c>
      <c r="F1379" s="725" t="s">
        <v>76</v>
      </c>
      <c r="G1379" s="664">
        <v>1.1000000000000001</v>
      </c>
      <c r="H1379" s="174">
        <f>VLOOKUP(C1379,'UPAH-BAHAN'!D:F,2,0)</f>
        <v>160000</v>
      </c>
      <c r="I1379" s="722">
        <f>H1379*G1379</f>
        <v>176000</v>
      </c>
      <c r="J1379" s="172"/>
      <c r="L1379" s="758"/>
    </row>
    <row r="1380" spans="1:12" s="2" customFormat="1" ht="15" customHeight="1" outlineLevel="1">
      <c r="A1380" s="3"/>
      <c r="B1380" s="723"/>
      <c r="C1380" s="644" t="s">
        <v>99</v>
      </c>
      <c r="D1380" s="652"/>
      <c r="E1380" s="640" t="s">
        <v>150</v>
      </c>
      <c r="F1380" s="725" t="s">
        <v>76</v>
      </c>
      <c r="G1380" s="664">
        <v>0.1</v>
      </c>
      <c r="H1380" s="174">
        <f>VLOOKUP(C1380,'UPAH-BAHAN'!D:F,2,0)</f>
        <v>170000</v>
      </c>
      <c r="I1380" s="722">
        <f>H1380*G1380</f>
        <v>17000</v>
      </c>
      <c r="J1380" s="172"/>
      <c r="L1380" s="758"/>
    </row>
    <row r="1381" spans="1:12" s="2" customFormat="1" ht="15" customHeight="1" outlineLevel="1">
      <c r="A1381" s="3"/>
      <c r="B1381" s="723"/>
      <c r="C1381" s="644" t="s">
        <v>80</v>
      </c>
      <c r="D1381" s="652"/>
      <c r="E1381" s="640" t="s">
        <v>151</v>
      </c>
      <c r="F1381" s="725" t="s">
        <v>76</v>
      </c>
      <c r="G1381" s="664">
        <v>0.16</v>
      </c>
      <c r="H1381" s="174">
        <f>VLOOKUP(C1381,'UPAH-BAHAN'!D:F,2,0)</f>
        <v>225000</v>
      </c>
      <c r="I1381" s="722">
        <f>H1381*G1381</f>
        <v>36000</v>
      </c>
      <c r="J1381" s="172"/>
      <c r="L1381" s="758"/>
    </row>
    <row r="1382" spans="1:12" s="2" customFormat="1" ht="15" customHeight="1" outlineLevel="1">
      <c r="A1382" s="3"/>
      <c r="B1382" s="723"/>
      <c r="C1382" s="644"/>
      <c r="D1382" s="652"/>
      <c r="E1382" s="641"/>
      <c r="F1382" s="724"/>
      <c r="G1382" s="644" t="s">
        <v>171</v>
      </c>
      <c r="H1382" s="722"/>
      <c r="I1382" s="722">
        <f>SUM(I1378:I1381)</f>
        <v>625000</v>
      </c>
      <c r="J1382" s="172"/>
      <c r="L1382" s="758"/>
    </row>
    <row r="1383" spans="1:12" s="2" customFormat="1" ht="15" customHeight="1" outlineLevel="1">
      <c r="A1383" s="3"/>
      <c r="B1383" s="723" t="s">
        <v>153</v>
      </c>
      <c r="C1383" s="644" t="s">
        <v>154</v>
      </c>
      <c r="D1383" s="652"/>
      <c r="E1383" s="641"/>
      <c r="F1383" s="724"/>
      <c r="G1383" s="724"/>
      <c r="H1383" s="722"/>
      <c r="I1383" s="722"/>
      <c r="J1383" s="172"/>
      <c r="L1383" s="758"/>
    </row>
    <row r="1384" spans="1:12" s="2" customFormat="1" ht="15" customHeight="1" outlineLevel="1">
      <c r="A1384" s="3"/>
      <c r="B1384" s="723"/>
      <c r="C1384" s="644" t="s">
        <v>735</v>
      </c>
      <c r="D1384" s="652"/>
      <c r="E1384" s="641"/>
      <c r="F1384" s="725" t="s">
        <v>62</v>
      </c>
      <c r="G1384" s="725">
        <v>1</v>
      </c>
      <c r="H1384" s="174">
        <f>VLOOKUP(C1384,'UPAH-BAHAN'!D:F,2,0)</f>
        <v>4000000</v>
      </c>
      <c r="I1384" s="631">
        <f t="shared" ref="I1384:I1385" si="14">H1384*G1384</f>
        <v>4000000</v>
      </c>
      <c r="J1384" s="172"/>
      <c r="L1384" s="758"/>
    </row>
    <row r="1385" spans="1:12" s="2" customFormat="1" ht="15" customHeight="1" outlineLevel="1">
      <c r="A1385" s="3"/>
      <c r="B1385" s="723"/>
      <c r="C1385" s="644" t="s">
        <v>614</v>
      </c>
      <c r="D1385" s="652"/>
      <c r="E1385" s="641"/>
      <c r="F1385" s="725" t="s">
        <v>20</v>
      </c>
      <c r="G1385" s="726">
        <v>0.06</v>
      </c>
      <c r="H1385" s="174">
        <f>H1384</f>
        <v>4000000</v>
      </c>
      <c r="I1385" s="631">
        <f t="shared" si="14"/>
        <v>240000</v>
      </c>
      <c r="J1385" s="172"/>
      <c r="L1385" s="758"/>
    </row>
    <row r="1386" spans="1:12" s="2" customFormat="1" ht="15" customHeight="1" outlineLevel="1">
      <c r="A1386" s="3"/>
      <c r="B1386" s="723"/>
      <c r="C1386" s="644"/>
      <c r="D1386" s="652"/>
      <c r="E1386" s="641"/>
      <c r="F1386" s="724"/>
      <c r="G1386" s="644" t="s">
        <v>172</v>
      </c>
      <c r="H1386" s="722"/>
      <c r="I1386" s="722">
        <f>SUM(I1384:I1385)</f>
        <v>4240000</v>
      </c>
      <c r="J1386" s="172"/>
      <c r="L1386" s="758"/>
    </row>
    <row r="1387" spans="1:12" s="2" customFormat="1" ht="15" customHeight="1" outlineLevel="1">
      <c r="A1387" s="3"/>
      <c r="B1387" s="723" t="s">
        <v>157</v>
      </c>
      <c r="C1387" s="644" t="s">
        <v>158</v>
      </c>
      <c r="D1387" s="652"/>
      <c r="E1387" s="641"/>
      <c r="F1387" s="724"/>
      <c r="G1387" s="724"/>
      <c r="H1387" s="722"/>
      <c r="I1387" s="722"/>
      <c r="J1387" s="172"/>
      <c r="L1387" s="758"/>
    </row>
    <row r="1388" spans="1:12" s="2" customFormat="1" ht="15" customHeight="1" outlineLevel="1">
      <c r="A1388" s="3"/>
      <c r="B1388" s="723"/>
      <c r="C1388" s="644"/>
      <c r="D1388" s="652"/>
      <c r="E1388" s="641"/>
      <c r="F1388" s="724"/>
      <c r="G1388" s="724"/>
      <c r="H1388" s="722"/>
      <c r="I1388" s="722"/>
      <c r="J1388" s="172"/>
      <c r="L1388" s="758"/>
    </row>
    <row r="1389" spans="1:12" s="2" customFormat="1" ht="15" customHeight="1" outlineLevel="1">
      <c r="A1389" s="3"/>
      <c r="B1389" s="723"/>
      <c r="C1389" s="644"/>
      <c r="D1389" s="652"/>
      <c r="E1389" s="641"/>
      <c r="F1389" s="724"/>
      <c r="G1389" s="644" t="s">
        <v>159</v>
      </c>
      <c r="H1389" s="722"/>
      <c r="I1389" s="722">
        <f>I1388</f>
        <v>0</v>
      </c>
      <c r="J1389" s="172"/>
      <c r="L1389" s="758"/>
    </row>
    <row r="1390" spans="1:12" s="2" customFormat="1" ht="15" customHeight="1" outlineLevel="1">
      <c r="A1390" s="3"/>
      <c r="B1390" s="723"/>
      <c r="C1390" s="644"/>
      <c r="D1390" s="652"/>
      <c r="E1390" s="641"/>
      <c r="F1390" s="724"/>
      <c r="G1390" s="724"/>
      <c r="H1390" s="722"/>
      <c r="I1390" s="722"/>
      <c r="J1390" s="172"/>
      <c r="L1390" s="758"/>
    </row>
    <row r="1391" spans="1:12" s="2" customFormat="1" ht="15" customHeight="1" outlineLevel="1">
      <c r="A1391" s="3"/>
      <c r="B1391" s="723" t="s">
        <v>160</v>
      </c>
      <c r="C1391" s="644" t="s">
        <v>161</v>
      </c>
      <c r="D1391" s="652"/>
      <c r="E1391" s="645"/>
      <c r="F1391" s="727"/>
      <c r="G1391" s="727"/>
      <c r="H1391" s="722"/>
      <c r="I1391" s="722">
        <f>I1389+I1386+I1382</f>
        <v>4865000</v>
      </c>
      <c r="J1391" s="172"/>
      <c r="L1391" s="758"/>
    </row>
    <row r="1392" spans="1:12" s="2" customFormat="1" ht="15" customHeight="1" outlineLevel="1">
      <c r="A1392" s="3"/>
      <c r="B1392" s="723" t="s">
        <v>162</v>
      </c>
      <c r="C1392" s="644" t="s">
        <v>82</v>
      </c>
      <c r="D1392" s="652"/>
      <c r="E1392" s="748"/>
      <c r="F1392" s="646"/>
      <c r="G1392" s="672">
        <f>$J$3</f>
        <v>0.15</v>
      </c>
      <c r="H1392" s="645"/>
      <c r="I1392" s="648">
        <f>I1391*G1392</f>
        <v>729750</v>
      </c>
      <c r="J1392" s="172"/>
      <c r="L1392" s="758"/>
    </row>
    <row r="1393" spans="1:12" s="2" customFormat="1" ht="15" customHeight="1" outlineLevel="1">
      <c r="A1393" s="3"/>
      <c r="B1393" s="723" t="s">
        <v>163</v>
      </c>
      <c r="C1393" s="644" t="s">
        <v>164</v>
      </c>
      <c r="D1393" s="652"/>
      <c r="E1393" s="645"/>
      <c r="F1393" s="727"/>
      <c r="G1393" s="727"/>
      <c r="H1393" s="722"/>
      <c r="I1393" s="722">
        <f>I1392+I1391</f>
        <v>5594750</v>
      </c>
      <c r="J1393" s="172"/>
      <c r="L1393" s="758"/>
    </row>
    <row r="1394" spans="1:12" s="2" customFormat="1" ht="15" customHeight="1" outlineLevel="1">
      <c r="A1394" s="3"/>
      <c r="B1394" s="498"/>
      <c r="D1394" s="499"/>
      <c r="E1394" s="499"/>
      <c r="F1394" s="728"/>
      <c r="G1394" s="728"/>
      <c r="H1394" s="729"/>
      <c r="I1394" s="729"/>
      <c r="J1394" s="172"/>
      <c r="L1394" s="758"/>
    </row>
    <row r="1395" spans="1:12" s="2" customFormat="1" ht="15" customHeight="1">
      <c r="A1395" s="3" t="str">
        <f>B1395</f>
        <v>A.5.1.1.2.</v>
      </c>
      <c r="B1395" s="487" t="s">
        <v>736</v>
      </c>
      <c r="D1395" s="3" t="s">
        <v>737</v>
      </c>
      <c r="E1395" s="12"/>
      <c r="F1395" s="12"/>
      <c r="G1395" s="12"/>
      <c r="J1395" s="172">
        <f>I1414</f>
        <v>1303180</v>
      </c>
      <c r="L1395" s="758"/>
    </row>
    <row r="1396" spans="1:12" s="2" customFormat="1" ht="15" customHeight="1" outlineLevel="1">
      <c r="A1396" s="3"/>
      <c r="B1396" s="721" t="s">
        <v>75</v>
      </c>
      <c r="C1396" s="710" t="s">
        <v>140</v>
      </c>
      <c r="D1396" s="711"/>
      <c r="E1396" s="639" t="s">
        <v>141</v>
      </c>
      <c r="F1396" s="639" t="s">
        <v>142</v>
      </c>
      <c r="G1396" s="639" t="s">
        <v>143</v>
      </c>
      <c r="H1396" s="722" t="s">
        <v>144</v>
      </c>
      <c r="I1396" s="722" t="s">
        <v>145</v>
      </c>
      <c r="J1396" s="172"/>
      <c r="L1396" s="758"/>
    </row>
    <row r="1397" spans="1:12" s="2" customFormat="1" ht="15" customHeight="1" outlineLevel="1">
      <c r="A1397" s="3"/>
      <c r="B1397" s="723" t="s">
        <v>146</v>
      </c>
      <c r="C1397" s="644" t="s">
        <v>147</v>
      </c>
      <c r="D1397" s="652"/>
      <c r="E1397" s="641"/>
      <c r="F1397" s="724"/>
      <c r="G1397" s="724"/>
      <c r="H1397" s="722"/>
      <c r="I1397" s="722"/>
      <c r="J1397" s="172"/>
      <c r="L1397" s="758"/>
    </row>
    <row r="1398" spans="1:12" s="2" customFormat="1" ht="15" customHeight="1" outlineLevel="1">
      <c r="A1398" s="3"/>
      <c r="B1398" s="723"/>
      <c r="C1398" s="644" t="s">
        <v>77</v>
      </c>
      <c r="D1398" s="652"/>
      <c r="E1398" s="640" t="s">
        <v>148</v>
      </c>
      <c r="F1398" s="725" t="s">
        <v>76</v>
      </c>
      <c r="G1398" s="665">
        <v>1</v>
      </c>
      <c r="H1398" s="174">
        <f>VLOOKUP(C1398,'UPAH-BAHAN'!D:F,2,0)</f>
        <v>120000</v>
      </c>
      <c r="I1398" s="631">
        <f t="shared" ref="I1398:I1401" si="15">H1398*G1398</f>
        <v>120000</v>
      </c>
      <c r="J1398" s="172"/>
      <c r="L1398" s="758"/>
    </row>
    <row r="1399" spans="1:12" s="2" customFormat="1" ht="15" customHeight="1" outlineLevel="1">
      <c r="A1399" s="3"/>
      <c r="B1399" s="723"/>
      <c r="C1399" s="644" t="s">
        <v>96</v>
      </c>
      <c r="D1399" s="652"/>
      <c r="E1399" s="640" t="s">
        <v>149</v>
      </c>
      <c r="F1399" s="725" t="s">
        <v>76</v>
      </c>
      <c r="G1399" s="664">
        <v>1.5</v>
      </c>
      <c r="H1399" s="174">
        <f>VLOOKUP(C1399,'UPAH-BAHAN'!D:F,2,0)</f>
        <v>160000</v>
      </c>
      <c r="I1399" s="631">
        <f t="shared" si="15"/>
        <v>240000</v>
      </c>
      <c r="J1399" s="172"/>
      <c r="L1399" s="758"/>
    </row>
    <row r="1400" spans="1:12" s="2" customFormat="1" ht="15" customHeight="1" outlineLevel="1">
      <c r="A1400" s="3"/>
      <c r="B1400" s="723"/>
      <c r="C1400" s="644" t="s">
        <v>99</v>
      </c>
      <c r="D1400" s="652"/>
      <c r="E1400" s="640" t="s">
        <v>150</v>
      </c>
      <c r="F1400" s="725" t="s">
        <v>76</v>
      </c>
      <c r="G1400" s="664">
        <v>0.15</v>
      </c>
      <c r="H1400" s="174">
        <f>VLOOKUP(C1400,'UPAH-BAHAN'!D:F,2,0)</f>
        <v>170000</v>
      </c>
      <c r="I1400" s="631">
        <f t="shared" si="15"/>
        <v>25500</v>
      </c>
      <c r="J1400" s="172"/>
      <c r="L1400" s="758"/>
    </row>
    <row r="1401" spans="1:12" s="2" customFormat="1" ht="15" customHeight="1" outlineLevel="1">
      <c r="A1401" s="3"/>
      <c r="B1401" s="723"/>
      <c r="C1401" s="644" t="s">
        <v>80</v>
      </c>
      <c r="D1401" s="652"/>
      <c r="E1401" s="640" t="s">
        <v>151</v>
      </c>
      <c r="F1401" s="725" t="s">
        <v>76</v>
      </c>
      <c r="G1401" s="664">
        <v>0.16</v>
      </c>
      <c r="H1401" s="174">
        <f>VLOOKUP(C1401,'UPAH-BAHAN'!D:F,2,0)</f>
        <v>225000</v>
      </c>
      <c r="I1401" s="631">
        <f t="shared" si="15"/>
        <v>36000</v>
      </c>
      <c r="J1401" s="172"/>
      <c r="L1401" s="758"/>
    </row>
    <row r="1402" spans="1:12" s="2" customFormat="1" ht="15" customHeight="1" outlineLevel="1">
      <c r="A1402" s="3"/>
      <c r="B1402" s="723"/>
      <c r="C1402" s="644"/>
      <c r="D1402" s="652"/>
      <c r="E1402" s="641"/>
      <c r="F1402" s="724"/>
      <c r="G1402" s="644" t="s">
        <v>171</v>
      </c>
      <c r="H1402" s="722"/>
      <c r="I1402" s="722">
        <f>SUM(I1398:I1401)</f>
        <v>421500</v>
      </c>
      <c r="J1402" s="172"/>
      <c r="L1402" s="758"/>
    </row>
    <row r="1403" spans="1:12" s="2" customFormat="1" ht="15" customHeight="1" outlineLevel="1">
      <c r="A1403" s="3"/>
      <c r="B1403" s="723" t="s">
        <v>153</v>
      </c>
      <c r="C1403" s="644" t="s">
        <v>154</v>
      </c>
      <c r="D1403" s="652"/>
      <c r="E1403" s="641"/>
      <c r="F1403" s="724"/>
      <c r="G1403" s="724"/>
      <c r="H1403" s="722"/>
      <c r="I1403" s="722"/>
      <c r="J1403" s="172"/>
      <c r="L1403" s="758"/>
    </row>
    <row r="1404" spans="1:12" s="2" customFormat="1" ht="15" customHeight="1" outlineLevel="1">
      <c r="A1404" s="3"/>
      <c r="B1404" s="723"/>
      <c r="C1404" s="644" t="s">
        <v>738</v>
      </c>
      <c r="D1404" s="652"/>
      <c r="E1404" s="641"/>
      <c r="F1404" s="725" t="s">
        <v>62</v>
      </c>
      <c r="G1404" s="664">
        <v>1</v>
      </c>
      <c r="H1404" s="174">
        <f>VLOOKUP(C1404,'UPAH-BAHAN'!D:F,2,0)</f>
        <v>700000</v>
      </c>
      <c r="I1404" s="631">
        <f t="shared" ref="I1404:I1406" si="16">H1404*G1404</f>
        <v>700000</v>
      </c>
      <c r="J1404" s="172"/>
      <c r="L1404" s="758"/>
    </row>
    <row r="1405" spans="1:12" s="2" customFormat="1" ht="15" customHeight="1" outlineLevel="1">
      <c r="A1405" s="3"/>
      <c r="B1405" s="723"/>
      <c r="C1405" s="644" t="s">
        <v>87</v>
      </c>
      <c r="D1405" s="652"/>
      <c r="E1405" s="641"/>
      <c r="F1405" s="725" t="s">
        <v>69</v>
      </c>
      <c r="G1405" s="664">
        <v>6</v>
      </c>
      <c r="H1405" s="174">
        <f>VLOOKUP(C1405,'UPAH-BAHAN'!D:F,2,0)</f>
        <v>1700</v>
      </c>
      <c r="I1405" s="631">
        <f t="shared" si="16"/>
        <v>10200</v>
      </c>
      <c r="J1405" s="172"/>
      <c r="L1405" s="758"/>
    </row>
    <row r="1406" spans="1:12" s="2" customFormat="1" ht="15" customHeight="1" outlineLevel="1">
      <c r="A1406" s="3"/>
      <c r="B1406" s="723"/>
      <c r="C1406" s="644" t="s">
        <v>111</v>
      </c>
      <c r="D1406" s="652"/>
      <c r="E1406" s="641"/>
      <c r="F1406" s="725" t="s">
        <v>81</v>
      </c>
      <c r="G1406" s="664">
        <v>0.01</v>
      </c>
      <c r="H1406" s="174">
        <f>VLOOKUP(C1406,'UPAH-BAHAN'!D:F,2,0)</f>
        <v>150000</v>
      </c>
      <c r="I1406" s="631">
        <f t="shared" si="16"/>
        <v>1500</v>
      </c>
      <c r="J1406" s="172"/>
      <c r="L1406" s="758"/>
    </row>
    <row r="1407" spans="1:12" s="2" customFormat="1" ht="15" customHeight="1" outlineLevel="1">
      <c r="A1407" s="3"/>
      <c r="B1407" s="723"/>
      <c r="C1407" s="644"/>
      <c r="D1407" s="652"/>
      <c r="E1407" s="641"/>
      <c r="F1407" s="724"/>
      <c r="G1407" s="644" t="s">
        <v>172</v>
      </c>
      <c r="H1407" s="722"/>
      <c r="I1407" s="722">
        <f>SUM(I1404:I1406)</f>
        <v>711700</v>
      </c>
      <c r="J1407" s="172"/>
      <c r="L1407" s="758"/>
    </row>
    <row r="1408" spans="1:12" s="2" customFormat="1" ht="15" customHeight="1" outlineLevel="1">
      <c r="A1408" s="3"/>
      <c r="B1408" s="723" t="s">
        <v>157</v>
      </c>
      <c r="C1408" s="644" t="s">
        <v>158</v>
      </c>
      <c r="D1408" s="652"/>
      <c r="E1408" s="641"/>
      <c r="F1408" s="724"/>
      <c r="G1408" s="724"/>
      <c r="H1408" s="722"/>
      <c r="I1408" s="722"/>
      <c r="J1408" s="172"/>
      <c r="L1408" s="758"/>
    </row>
    <row r="1409" spans="1:12" s="2" customFormat="1" ht="15" customHeight="1" outlineLevel="1">
      <c r="A1409" s="3"/>
      <c r="B1409" s="723"/>
      <c r="C1409" s="644"/>
      <c r="D1409" s="652"/>
      <c r="E1409" s="641"/>
      <c r="F1409" s="724"/>
      <c r="G1409" s="724"/>
      <c r="H1409" s="722"/>
      <c r="I1409" s="722"/>
      <c r="J1409" s="172"/>
      <c r="L1409" s="758"/>
    </row>
    <row r="1410" spans="1:12" s="2" customFormat="1" ht="15" customHeight="1" outlineLevel="1">
      <c r="A1410" s="3"/>
      <c r="B1410" s="723"/>
      <c r="C1410" s="644"/>
      <c r="D1410" s="652"/>
      <c r="E1410" s="641"/>
      <c r="F1410" s="724"/>
      <c r="G1410" s="644" t="s">
        <v>159</v>
      </c>
      <c r="H1410" s="722"/>
      <c r="I1410" s="722">
        <f>I1409</f>
        <v>0</v>
      </c>
      <c r="J1410" s="172"/>
      <c r="L1410" s="758"/>
    </row>
    <row r="1411" spans="1:12" s="2" customFormat="1" ht="15" customHeight="1" outlineLevel="1">
      <c r="A1411" s="3"/>
      <c r="B1411" s="723"/>
      <c r="C1411" s="644"/>
      <c r="D1411" s="652"/>
      <c r="E1411" s="641"/>
      <c r="F1411" s="724"/>
      <c r="G1411" s="724"/>
      <c r="H1411" s="722"/>
      <c r="I1411" s="722"/>
      <c r="J1411" s="172"/>
      <c r="L1411" s="758"/>
    </row>
    <row r="1412" spans="1:12" s="2" customFormat="1" ht="15" customHeight="1" outlineLevel="1">
      <c r="A1412" s="3"/>
      <c r="B1412" s="723" t="s">
        <v>160</v>
      </c>
      <c r="C1412" s="644" t="s">
        <v>161</v>
      </c>
      <c r="D1412" s="652"/>
      <c r="E1412" s="645"/>
      <c r="F1412" s="727"/>
      <c r="G1412" s="727"/>
      <c r="H1412" s="722"/>
      <c r="I1412" s="722">
        <f>I1410+I1407+I1402</f>
        <v>1133200</v>
      </c>
      <c r="J1412" s="172"/>
      <c r="L1412" s="758"/>
    </row>
    <row r="1413" spans="1:12" s="2" customFormat="1" ht="15" customHeight="1" outlineLevel="1">
      <c r="A1413" s="3"/>
      <c r="B1413" s="723" t="s">
        <v>162</v>
      </c>
      <c r="C1413" s="644" t="s">
        <v>82</v>
      </c>
      <c r="D1413" s="652"/>
      <c r="E1413" s="748"/>
      <c r="F1413" s="646"/>
      <c r="G1413" s="672">
        <f>$J$3</f>
        <v>0.15</v>
      </c>
      <c r="H1413" s="645"/>
      <c r="I1413" s="648">
        <f>I1412*G1413</f>
        <v>169980</v>
      </c>
      <c r="J1413" s="172"/>
      <c r="L1413" s="758"/>
    </row>
    <row r="1414" spans="1:12" s="2" customFormat="1" ht="15" customHeight="1" outlineLevel="1">
      <c r="A1414" s="3"/>
      <c r="B1414" s="723" t="s">
        <v>163</v>
      </c>
      <c r="C1414" s="644" t="s">
        <v>164</v>
      </c>
      <c r="D1414" s="652"/>
      <c r="E1414" s="645"/>
      <c r="F1414" s="727"/>
      <c r="G1414" s="672"/>
      <c r="H1414" s="722"/>
      <c r="I1414" s="722">
        <f>I1413+I1412</f>
        <v>1303180</v>
      </c>
      <c r="J1414" s="172"/>
      <c r="L1414" s="758"/>
    </row>
    <row r="1415" spans="1:12" s="2" customFormat="1" ht="15" customHeight="1" outlineLevel="1">
      <c r="A1415" s="3"/>
      <c r="B1415" s="498"/>
      <c r="D1415" s="499"/>
      <c r="E1415" s="499"/>
      <c r="F1415" s="728"/>
      <c r="G1415" s="728"/>
      <c r="H1415" s="729"/>
      <c r="I1415" s="729"/>
      <c r="J1415" s="172"/>
      <c r="L1415" s="758"/>
    </row>
    <row r="1416" spans="1:12">
      <c r="A1416" s="167" t="str">
        <f>B1416</f>
        <v>A.5.1.1 5.</v>
      </c>
      <c r="B1416" s="287" t="s">
        <v>739</v>
      </c>
      <c r="D1416" s="167" t="s">
        <v>740</v>
      </c>
      <c r="J1416" s="273">
        <f>I1436</f>
        <v>2767705</v>
      </c>
      <c r="K1416" s="154" t="e">
        <f>VLOOKUP(A1416,#REF!,1,0)</f>
        <v>#REF!</v>
      </c>
    </row>
    <row r="1417" spans="1:12" ht="31.2" outlineLevel="1">
      <c r="A1417" s="163"/>
      <c r="B1417" s="658" t="s">
        <v>75</v>
      </c>
      <c r="C1417" s="1249" t="s">
        <v>140</v>
      </c>
      <c r="D1417" s="1250"/>
      <c r="E1417" s="658" t="s">
        <v>141</v>
      </c>
      <c r="F1417" s="658" t="s">
        <v>142</v>
      </c>
      <c r="G1417" s="658" t="s">
        <v>143</v>
      </c>
      <c r="H1417" s="659" t="s">
        <v>144</v>
      </c>
      <c r="I1417" s="659" t="s">
        <v>145</v>
      </c>
      <c r="J1417" s="625"/>
      <c r="K1417" s="154" t="e">
        <f>VLOOKUP(A1417,#REF!,1,0)</f>
        <v>#REF!</v>
      </c>
    </row>
    <row r="1418" spans="1:12" outlineLevel="1">
      <c r="B1418" s="659" t="s">
        <v>146</v>
      </c>
      <c r="C1418" s="660" t="s">
        <v>147</v>
      </c>
      <c r="D1418" s="661"/>
      <c r="E1418" s="688"/>
      <c r="F1418" s="662"/>
      <c r="G1418" s="662"/>
      <c r="H1418" s="663"/>
      <c r="I1418" s="663"/>
      <c r="J1418" s="273"/>
      <c r="K1418" s="154" t="e">
        <f>VLOOKUP(A1418,#REF!,1,0)</f>
        <v>#REF!</v>
      </c>
    </row>
    <row r="1419" spans="1:12" outlineLevel="1">
      <c r="B1419" s="659"/>
      <c r="C1419" s="660" t="s">
        <v>77</v>
      </c>
      <c r="D1419" s="661"/>
      <c r="E1419" s="659" t="s">
        <v>148</v>
      </c>
      <c r="F1419" s="664" t="s">
        <v>76</v>
      </c>
      <c r="G1419" s="664">
        <v>1.2</v>
      </c>
      <c r="H1419" s="174">
        <f>VLOOKUP(C1419,'UPAH-BAHAN'!D:F,2,0)</f>
        <v>120000</v>
      </c>
      <c r="I1419" s="631">
        <f t="shared" ref="I1419:I1422" si="17">H1419*G1419</f>
        <v>144000</v>
      </c>
      <c r="J1419" s="273"/>
      <c r="K1419" s="154" t="e">
        <f>VLOOKUP(A1419,#REF!,1,0)</f>
        <v>#REF!</v>
      </c>
    </row>
    <row r="1420" spans="1:12" outlineLevel="1">
      <c r="B1420" s="659"/>
      <c r="C1420" s="660" t="s">
        <v>86</v>
      </c>
      <c r="D1420" s="661"/>
      <c r="E1420" s="659" t="s">
        <v>149</v>
      </c>
      <c r="F1420" s="664" t="s">
        <v>76</v>
      </c>
      <c r="G1420" s="664">
        <v>1.45</v>
      </c>
      <c r="H1420" s="174">
        <f>VLOOKUP(C1420,'UPAH-BAHAN'!D:F,2,0)</f>
        <v>160000</v>
      </c>
      <c r="I1420" s="631">
        <f t="shared" si="17"/>
        <v>232000</v>
      </c>
      <c r="J1420" s="273"/>
      <c r="K1420" s="154" t="e">
        <f>VLOOKUP(A1420,#REF!,1,0)</f>
        <v>#REF!</v>
      </c>
    </row>
    <row r="1421" spans="1:12" outlineLevel="1">
      <c r="B1421" s="659"/>
      <c r="C1421" s="660" t="s">
        <v>99</v>
      </c>
      <c r="D1421" s="661"/>
      <c r="E1421" s="659" t="s">
        <v>150</v>
      </c>
      <c r="F1421" s="664" t="s">
        <v>76</v>
      </c>
      <c r="G1421" s="664">
        <v>0.15</v>
      </c>
      <c r="H1421" s="174">
        <f>VLOOKUP(C1421,'UPAH-BAHAN'!D:F,2,0)</f>
        <v>170000</v>
      </c>
      <c r="I1421" s="631">
        <f t="shared" si="17"/>
        <v>25500</v>
      </c>
      <c r="J1421" s="273"/>
      <c r="K1421" s="154" t="e">
        <f>VLOOKUP(A1421,#REF!,1,0)</f>
        <v>#REF!</v>
      </c>
    </row>
    <row r="1422" spans="1:12" outlineLevel="1">
      <c r="B1422" s="659"/>
      <c r="C1422" s="660" t="s">
        <v>80</v>
      </c>
      <c r="D1422" s="661"/>
      <c r="E1422" s="659" t="s">
        <v>151</v>
      </c>
      <c r="F1422" s="664" t="s">
        <v>76</v>
      </c>
      <c r="G1422" s="664">
        <v>0.06</v>
      </c>
      <c r="H1422" s="174">
        <f>VLOOKUP(C1422,'UPAH-BAHAN'!D:F,2,0)</f>
        <v>225000</v>
      </c>
      <c r="I1422" s="631">
        <f t="shared" si="17"/>
        <v>13500</v>
      </c>
      <c r="J1422" s="273"/>
      <c r="K1422" s="154" t="e">
        <f>VLOOKUP(A1422,#REF!,1,0)</f>
        <v>#REF!</v>
      </c>
    </row>
    <row r="1423" spans="1:12" outlineLevel="1">
      <c r="B1423" s="659"/>
      <c r="C1423" s="660"/>
      <c r="D1423" s="661"/>
      <c r="E1423" s="688"/>
      <c r="F1423" s="662"/>
      <c r="G1423" s="660" t="s">
        <v>171</v>
      </c>
      <c r="H1423" s="666"/>
      <c r="I1423" s="666">
        <f>SUM(I1419:I1422)</f>
        <v>415000</v>
      </c>
      <c r="J1423" s="273"/>
      <c r="K1423" s="154" t="e">
        <f>VLOOKUP(A1423,#REF!,1,0)</f>
        <v>#REF!</v>
      </c>
    </row>
    <row r="1424" spans="1:12" outlineLevel="1">
      <c r="B1424" s="659" t="s">
        <v>153</v>
      </c>
      <c r="C1424" s="660" t="s">
        <v>154</v>
      </c>
      <c r="D1424" s="661"/>
      <c r="E1424" s="688"/>
      <c r="F1424" s="662"/>
      <c r="G1424" s="662"/>
      <c r="H1424" s="666"/>
      <c r="I1424" s="666"/>
      <c r="J1424" s="273"/>
      <c r="K1424" s="154" t="e">
        <f>VLOOKUP(A1424,#REF!,1,0)</f>
        <v>#REF!</v>
      </c>
    </row>
    <row r="1425" spans="1:11" outlineLevel="1">
      <c r="B1425" s="659"/>
      <c r="C1425" s="730" t="s">
        <v>474</v>
      </c>
      <c r="D1425" s="661"/>
      <c r="E1425" s="688"/>
      <c r="F1425" s="664" t="s">
        <v>741</v>
      </c>
      <c r="G1425" s="664">
        <v>1.2</v>
      </c>
      <c r="H1425" s="174">
        <f>VLOOKUP(C1425,'UPAH-BAHAN'!D:F,2,0)</f>
        <v>1500000</v>
      </c>
      <c r="I1425" s="631">
        <f t="shared" ref="I1425:I1428" si="18">H1425*G1425</f>
        <v>1800000</v>
      </c>
      <c r="J1425" s="273"/>
      <c r="K1425" s="154" t="e">
        <f>VLOOKUP(A1425,#REF!,1,0)</f>
        <v>#REF!</v>
      </c>
    </row>
    <row r="1426" spans="1:11" outlineLevel="1">
      <c r="B1426" s="659"/>
      <c r="C1426" s="730" t="s">
        <v>87</v>
      </c>
      <c r="D1426" s="661"/>
      <c r="E1426" s="688"/>
      <c r="F1426" s="664" t="s">
        <v>742</v>
      </c>
      <c r="G1426" s="664">
        <v>6</v>
      </c>
      <c r="H1426" s="174">
        <f>VLOOKUP(C1426,'UPAH-BAHAN'!D:F,2,0)</f>
        <v>1700</v>
      </c>
      <c r="I1426" s="631">
        <f t="shared" si="18"/>
        <v>10200</v>
      </c>
      <c r="J1426" s="273"/>
      <c r="K1426" s="154" t="e">
        <f>VLOOKUP(A1426,#REF!,1,0)</f>
        <v>#REF!</v>
      </c>
    </row>
    <row r="1427" spans="1:11" outlineLevel="1">
      <c r="B1427" s="659"/>
      <c r="C1427" s="660" t="s">
        <v>88</v>
      </c>
      <c r="D1427" s="661"/>
      <c r="E1427" s="688"/>
      <c r="F1427" s="664" t="s">
        <v>81</v>
      </c>
      <c r="G1427" s="664">
        <v>0.01</v>
      </c>
      <c r="H1427" s="174">
        <f>VLOOKUP(C1427,'UPAH-BAHAN'!D:F,2,0)</f>
        <v>150000</v>
      </c>
      <c r="I1427" s="631">
        <f t="shared" si="18"/>
        <v>1500</v>
      </c>
      <c r="J1427" s="273"/>
      <c r="K1427" s="154" t="e">
        <f>VLOOKUP(A1427,#REF!,1,0)</f>
        <v>#REF!</v>
      </c>
    </row>
    <row r="1428" spans="1:11" outlineLevel="1">
      <c r="B1428" s="659"/>
      <c r="C1428" s="730" t="s">
        <v>614</v>
      </c>
      <c r="D1428" s="661"/>
      <c r="E1428" s="688"/>
      <c r="F1428" s="664" t="s">
        <v>20</v>
      </c>
      <c r="G1428" s="726">
        <v>0.12</v>
      </c>
      <c r="H1428" s="174">
        <f>H1425</f>
        <v>1500000</v>
      </c>
      <c r="I1428" s="631">
        <f t="shared" si="18"/>
        <v>180000</v>
      </c>
      <c r="J1428" s="273"/>
      <c r="K1428" s="154" t="e">
        <f>VLOOKUP(A1428,#REF!,1,0)</f>
        <v>#REF!</v>
      </c>
    </row>
    <row r="1429" spans="1:11" outlineLevel="1">
      <c r="B1429" s="659"/>
      <c r="C1429" s="660"/>
      <c r="D1429" s="661"/>
      <c r="E1429" s="688"/>
      <c r="F1429" s="662"/>
      <c r="G1429" s="660" t="s">
        <v>172</v>
      </c>
      <c r="H1429" s="666"/>
      <c r="I1429" s="666">
        <f>SUM(I1425:I1428)</f>
        <v>1991700</v>
      </c>
      <c r="J1429" s="273"/>
      <c r="K1429" s="154" t="e">
        <f>VLOOKUP(A1429,#REF!,1,0)</f>
        <v>#REF!</v>
      </c>
    </row>
    <row r="1430" spans="1:11" outlineLevel="1">
      <c r="B1430" s="659" t="s">
        <v>157</v>
      </c>
      <c r="C1430" s="660" t="s">
        <v>158</v>
      </c>
      <c r="D1430" s="661"/>
      <c r="E1430" s="688"/>
      <c r="F1430" s="662"/>
      <c r="G1430" s="662"/>
      <c r="H1430" s="663"/>
      <c r="I1430" s="663"/>
      <c r="J1430" s="273"/>
      <c r="K1430" s="154" t="e">
        <f>VLOOKUP(A1430,#REF!,1,0)</f>
        <v>#REF!</v>
      </c>
    </row>
    <row r="1431" spans="1:11" outlineLevel="1">
      <c r="B1431" s="659"/>
      <c r="C1431" s="660"/>
      <c r="D1431" s="661"/>
      <c r="E1431" s="688"/>
      <c r="F1431" s="662"/>
      <c r="G1431" s="662"/>
      <c r="H1431" s="663"/>
      <c r="I1431" s="663"/>
      <c r="J1431" s="273"/>
      <c r="K1431" s="154" t="e">
        <f>VLOOKUP(A1431,#REF!,1,0)</f>
        <v>#REF!</v>
      </c>
    </row>
    <row r="1432" spans="1:11" outlineLevel="1">
      <c r="B1432" s="664"/>
      <c r="C1432" s="667"/>
      <c r="D1432" s="668"/>
      <c r="E1432" s="688"/>
      <c r="F1432" s="662"/>
      <c r="G1432" s="660" t="s">
        <v>159</v>
      </c>
      <c r="H1432" s="663"/>
      <c r="I1432" s="663">
        <f>I1431</f>
        <v>0</v>
      </c>
      <c r="J1432" s="273"/>
      <c r="K1432" s="154" t="e">
        <f>VLOOKUP(A1432,#REF!,1,0)</f>
        <v>#REF!</v>
      </c>
    </row>
    <row r="1433" spans="1:11" outlineLevel="1">
      <c r="B1433" s="662"/>
      <c r="C1433" s="669"/>
      <c r="D1433" s="670"/>
      <c r="E1433" s="688"/>
      <c r="F1433" s="662"/>
      <c r="G1433" s="662"/>
      <c r="H1433" s="663"/>
      <c r="I1433" s="663"/>
      <c r="J1433" s="273"/>
      <c r="K1433" s="154" t="e">
        <f>VLOOKUP(A1433,#REF!,1,0)</f>
        <v>#REF!</v>
      </c>
    </row>
    <row r="1434" spans="1:11" outlineLevel="1">
      <c r="B1434" s="659" t="s">
        <v>160</v>
      </c>
      <c r="C1434" s="660" t="s">
        <v>161</v>
      </c>
      <c r="D1434" s="661"/>
      <c r="E1434" s="673"/>
      <c r="F1434" s="663"/>
      <c r="G1434" s="663"/>
      <c r="H1434" s="663"/>
      <c r="I1434" s="666">
        <f>I1432+I1429+I1423</f>
        <v>2406700</v>
      </c>
      <c r="J1434" s="273"/>
      <c r="K1434" s="154" t="e">
        <f>VLOOKUP(A1434,#REF!,1,0)</f>
        <v>#REF!</v>
      </c>
    </row>
    <row r="1435" spans="1:11" outlineLevel="1">
      <c r="B1435" s="659" t="s">
        <v>162</v>
      </c>
      <c r="C1435" s="660" t="s">
        <v>82</v>
      </c>
      <c r="D1435" s="661"/>
      <c r="E1435" s="752"/>
      <c r="F1435" s="671"/>
      <c r="G1435" s="672">
        <f>$J$3</f>
        <v>0.15</v>
      </c>
      <c r="H1435" s="673"/>
      <c r="I1435" s="674">
        <f>I1434*G1435</f>
        <v>361005</v>
      </c>
      <c r="J1435" s="273"/>
      <c r="K1435" s="154" t="e">
        <f>VLOOKUP(A1435,#REF!,1,0)</f>
        <v>#REF!</v>
      </c>
    </row>
    <row r="1436" spans="1:11" outlineLevel="1">
      <c r="B1436" s="659" t="s">
        <v>163</v>
      </c>
      <c r="C1436" s="660" t="s">
        <v>164</v>
      </c>
      <c r="D1436" s="661"/>
      <c r="E1436" s="673"/>
      <c r="F1436" s="663"/>
      <c r="G1436" s="663"/>
      <c r="H1436" s="663"/>
      <c r="I1436" s="666">
        <f>I1435+I1434</f>
        <v>2767705</v>
      </c>
      <c r="J1436" s="273"/>
      <c r="K1436" s="154" t="e">
        <f>VLOOKUP(A1436,#REF!,1,0)</f>
        <v>#REF!</v>
      </c>
    </row>
    <row r="1437" spans="1:11" outlineLevel="1">
      <c r="B1437" s="184"/>
      <c r="D1437" s="186"/>
      <c r="E1437" s="186"/>
      <c r="F1437" s="280"/>
      <c r="G1437" s="280"/>
      <c r="H1437" s="280"/>
      <c r="I1437" s="331"/>
      <c r="J1437" s="273"/>
      <c r="K1437" s="154" t="e">
        <f>VLOOKUP(A1437,#REF!,1,0)</f>
        <v>#REF!</v>
      </c>
    </row>
    <row r="1438" spans="1:11">
      <c r="A1438" s="167" t="str">
        <f>B1438</f>
        <v>A.5.1.1 6.</v>
      </c>
      <c r="B1438" s="287" t="s">
        <v>924</v>
      </c>
      <c r="D1438" s="167" t="s">
        <v>922</v>
      </c>
      <c r="J1438" s="273">
        <f>I1458</f>
        <v>4285705</v>
      </c>
      <c r="K1438" s="154" t="e">
        <f>VLOOKUP(A1438,#REF!,1,0)</f>
        <v>#REF!</v>
      </c>
    </row>
    <row r="1439" spans="1:11" ht="31.2" outlineLevel="1">
      <c r="A1439" s="163"/>
      <c r="B1439" s="658" t="s">
        <v>75</v>
      </c>
      <c r="C1439" s="1249" t="s">
        <v>140</v>
      </c>
      <c r="D1439" s="1250"/>
      <c r="E1439" s="658" t="s">
        <v>141</v>
      </c>
      <c r="F1439" s="658" t="s">
        <v>142</v>
      </c>
      <c r="G1439" s="658" t="s">
        <v>143</v>
      </c>
      <c r="H1439" s="659" t="s">
        <v>144</v>
      </c>
      <c r="I1439" s="659" t="s">
        <v>145</v>
      </c>
      <c r="J1439" s="625"/>
      <c r="K1439" s="154" t="e">
        <f>VLOOKUP(A1439,#REF!,1,0)</f>
        <v>#REF!</v>
      </c>
    </row>
    <row r="1440" spans="1:11" outlineLevel="1">
      <c r="B1440" s="659" t="s">
        <v>146</v>
      </c>
      <c r="C1440" s="660" t="s">
        <v>147</v>
      </c>
      <c r="D1440" s="661"/>
      <c r="E1440" s="688"/>
      <c r="F1440" s="662"/>
      <c r="G1440" s="662"/>
      <c r="H1440" s="663"/>
      <c r="I1440" s="663"/>
      <c r="J1440" s="273"/>
      <c r="K1440" s="154" t="e">
        <f>VLOOKUP(A1440,#REF!,1,0)</f>
        <v>#REF!</v>
      </c>
    </row>
    <row r="1441" spans="2:11" outlineLevel="1">
      <c r="B1441" s="659"/>
      <c r="C1441" s="660" t="s">
        <v>77</v>
      </c>
      <c r="D1441" s="661"/>
      <c r="E1441" s="659" t="s">
        <v>148</v>
      </c>
      <c r="F1441" s="664" t="s">
        <v>76</v>
      </c>
      <c r="G1441" s="664">
        <v>1.2</v>
      </c>
      <c r="H1441" s="174">
        <f>VLOOKUP(C1441,'UPAH-BAHAN'!D:F,2,0)</f>
        <v>120000</v>
      </c>
      <c r="I1441" s="631">
        <f t="shared" ref="I1441:I1444" si="19">H1441*G1441</f>
        <v>144000</v>
      </c>
      <c r="J1441" s="273"/>
      <c r="K1441" s="154" t="e">
        <f>VLOOKUP(A1441,#REF!,1,0)</f>
        <v>#REF!</v>
      </c>
    </row>
    <row r="1442" spans="2:11" outlineLevel="1">
      <c r="B1442" s="659"/>
      <c r="C1442" s="660" t="s">
        <v>86</v>
      </c>
      <c r="D1442" s="661"/>
      <c r="E1442" s="659" t="s">
        <v>149</v>
      </c>
      <c r="F1442" s="664" t="s">
        <v>76</v>
      </c>
      <c r="G1442" s="664">
        <v>1.45</v>
      </c>
      <c r="H1442" s="174">
        <f>VLOOKUP(C1442,'UPAH-BAHAN'!D:F,2,0)</f>
        <v>160000</v>
      </c>
      <c r="I1442" s="631">
        <f t="shared" si="19"/>
        <v>232000</v>
      </c>
      <c r="J1442" s="273"/>
      <c r="K1442" s="154" t="e">
        <f>VLOOKUP(A1442,#REF!,1,0)</f>
        <v>#REF!</v>
      </c>
    </row>
    <row r="1443" spans="2:11" outlineLevel="1">
      <c r="B1443" s="659"/>
      <c r="C1443" s="660" t="s">
        <v>99</v>
      </c>
      <c r="D1443" s="661"/>
      <c r="E1443" s="659" t="s">
        <v>150</v>
      </c>
      <c r="F1443" s="664" t="s">
        <v>76</v>
      </c>
      <c r="G1443" s="664">
        <v>0.15</v>
      </c>
      <c r="H1443" s="174">
        <f>VLOOKUP(C1443,'UPAH-BAHAN'!D:F,2,0)</f>
        <v>170000</v>
      </c>
      <c r="I1443" s="631">
        <f t="shared" si="19"/>
        <v>25500</v>
      </c>
      <c r="J1443" s="273"/>
      <c r="K1443" s="154" t="e">
        <f>VLOOKUP(A1443,#REF!,1,0)</f>
        <v>#REF!</v>
      </c>
    </row>
    <row r="1444" spans="2:11" outlineLevel="1">
      <c r="B1444" s="659"/>
      <c r="C1444" s="660" t="s">
        <v>80</v>
      </c>
      <c r="D1444" s="661"/>
      <c r="E1444" s="659" t="s">
        <v>151</v>
      </c>
      <c r="F1444" s="664" t="s">
        <v>76</v>
      </c>
      <c r="G1444" s="664">
        <v>0.06</v>
      </c>
      <c r="H1444" s="174">
        <f>VLOOKUP(C1444,'UPAH-BAHAN'!D:F,2,0)</f>
        <v>225000</v>
      </c>
      <c r="I1444" s="631">
        <f t="shared" si="19"/>
        <v>13500</v>
      </c>
      <c r="J1444" s="273"/>
      <c r="K1444" s="154" t="e">
        <f>VLOOKUP(A1444,#REF!,1,0)</f>
        <v>#REF!</v>
      </c>
    </row>
    <row r="1445" spans="2:11" outlineLevel="1">
      <c r="B1445" s="659"/>
      <c r="C1445" s="660"/>
      <c r="D1445" s="661"/>
      <c r="E1445" s="688"/>
      <c r="F1445" s="662"/>
      <c r="G1445" s="660" t="s">
        <v>171</v>
      </c>
      <c r="H1445" s="666"/>
      <c r="I1445" s="666">
        <f>SUM(I1441:I1444)</f>
        <v>415000</v>
      </c>
      <c r="J1445" s="273"/>
      <c r="K1445" s="154" t="e">
        <f>VLOOKUP(A1445,#REF!,1,0)</f>
        <v>#REF!</v>
      </c>
    </row>
    <row r="1446" spans="2:11" outlineLevel="1">
      <c r="B1446" s="659" t="s">
        <v>153</v>
      </c>
      <c r="C1446" s="660" t="s">
        <v>154</v>
      </c>
      <c r="D1446" s="661"/>
      <c r="E1446" s="688"/>
      <c r="F1446" s="662"/>
      <c r="G1446" s="662"/>
      <c r="H1446" s="666"/>
      <c r="I1446" s="666"/>
      <c r="J1446" s="273"/>
      <c r="K1446" s="154" t="e">
        <f>VLOOKUP(A1446,#REF!,1,0)</f>
        <v>#REF!</v>
      </c>
    </row>
    <row r="1447" spans="2:11" outlineLevel="1">
      <c r="B1447" s="659"/>
      <c r="C1447" s="730" t="s">
        <v>923</v>
      </c>
      <c r="D1447" s="661"/>
      <c r="E1447" s="688"/>
      <c r="F1447" s="664" t="s">
        <v>741</v>
      </c>
      <c r="G1447" s="664">
        <v>1.2</v>
      </c>
      <c r="H1447" s="174">
        <f>VLOOKUP(C1447,'UPAH-BAHAN'!D:F,2,0)</f>
        <v>2500000</v>
      </c>
      <c r="I1447" s="631">
        <f t="shared" ref="I1447:I1450" si="20">H1447*G1447</f>
        <v>3000000</v>
      </c>
      <c r="J1447" s="273"/>
      <c r="K1447" s="154" t="e">
        <f>VLOOKUP(A1447,#REF!,1,0)</f>
        <v>#REF!</v>
      </c>
    </row>
    <row r="1448" spans="2:11" outlineLevel="1">
      <c r="B1448" s="659"/>
      <c r="C1448" s="730" t="s">
        <v>87</v>
      </c>
      <c r="D1448" s="661"/>
      <c r="E1448" s="688"/>
      <c r="F1448" s="664" t="s">
        <v>742</v>
      </c>
      <c r="G1448" s="664">
        <v>6</v>
      </c>
      <c r="H1448" s="174">
        <f>VLOOKUP(C1448,'UPAH-BAHAN'!D:F,2,0)</f>
        <v>1700</v>
      </c>
      <c r="I1448" s="631">
        <f t="shared" si="20"/>
        <v>10200</v>
      </c>
      <c r="J1448" s="273"/>
      <c r="K1448" s="154" t="e">
        <f>VLOOKUP(A1448,#REF!,1,0)</f>
        <v>#REF!</v>
      </c>
    </row>
    <row r="1449" spans="2:11" outlineLevel="1">
      <c r="B1449" s="659"/>
      <c r="C1449" s="660" t="s">
        <v>88</v>
      </c>
      <c r="D1449" s="661"/>
      <c r="E1449" s="688"/>
      <c r="F1449" s="664" t="s">
        <v>81</v>
      </c>
      <c r="G1449" s="664">
        <v>0.01</v>
      </c>
      <c r="H1449" s="174">
        <f>VLOOKUP(C1449,'UPAH-BAHAN'!D:F,2,0)</f>
        <v>150000</v>
      </c>
      <c r="I1449" s="631">
        <f t="shared" si="20"/>
        <v>1500</v>
      </c>
      <c r="J1449" s="273"/>
      <c r="K1449" s="154" t="e">
        <f>VLOOKUP(A1449,#REF!,1,0)</f>
        <v>#REF!</v>
      </c>
    </row>
    <row r="1450" spans="2:11" outlineLevel="1">
      <c r="B1450" s="659"/>
      <c r="C1450" s="730" t="s">
        <v>614</v>
      </c>
      <c r="D1450" s="661"/>
      <c r="E1450" s="688"/>
      <c r="F1450" s="664" t="s">
        <v>20</v>
      </c>
      <c r="G1450" s="726">
        <v>0.12</v>
      </c>
      <c r="H1450" s="174">
        <f>H1447</f>
        <v>2500000</v>
      </c>
      <c r="I1450" s="631">
        <f t="shared" si="20"/>
        <v>300000</v>
      </c>
      <c r="J1450" s="273"/>
      <c r="K1450" s="154" t="e">
        <f>VLOOKUP(A1450,#REF!,1,0)</f>
        <v>#REF!</v>
      </c>
    </row>
    <row r="1451" spans="2:11" outlineLevel="1">
      <c r="B1451" s="659"/>
      <c r="C1451" s="660"/>
      <c r="D1451" s="661"/>
      <c r="E1451" s="688"/>
      <c r="F1451" s="662"/>
      <c r="G1451" s="660" t="s">
        <v>172</v>
      </c>
      <c r="H1451" s="666"/>
      <c r="I1451" s="666">
        <f>SUM(I1447:I1450)</f>
        <v>3311700</v>
      </c>
      <c r="J1451" s="273"/>
      <c r="K1451" s="154" t="e">
        <f>VLOOKUP(A1451,#REF!,1,0)</f>
        <v>#REF!</v>
      </c>
    </row>
    <row r="1452" spans="2:11" outlineLevel="1">
      <c r="B1452" s="659" t="s">
        <v>157</v>
      </c>
      <c r="C1452" s="660" t="s">
        <v>158</v>
      </c>
      <c r="D1452" s="661"/>
      <c r="E1452" s="688"/>
      <c r="F1452" s="662"/>
      <c r="G1452" s="662"/>
      <c r="H1452" s="663"/>
      <c r="I1452" s="663"/>
      <c r="J1452" s="273"/>
      <c r="K1452" s="154" t="e">
        <f>VLOOKUP(A1452,#REF!,1,0)</f>
        <v>#REF!</v>
      </c>
    </row>
    <row r="1453" spans="2:11" outlineLevel="1">
      <c r="B1453" s="659"/>
      <c r="C1453" s="660"/>
      <c r="D1453" s="661"/>
      <c r="E1453" s="688"/>
      <c r="F1453" s="662"/>
      <c r="G1453" s="662"/>
      <c r="H1453" s="663"/>
      <c r="I1453" s="663"/>
      <c r="J1453" s="273"/>
      <c r="K1453" s="154" t="e">
        <f>VLOOKUP(A1453,#REF!,1,0)</f>
        <v>#REF!</v>
      </c>
    </row>
    <row r="1454" spans="2:11" outlineLevel="1">
      <c r="B1454" s="664"/>
      <c r="C1454" s="667"/>
      <c r="D1454" s="668"/>
      <c r="E1454" s="688"/>
      <c r="F1454" s="662"/>
      <c r="G1454" s="660" t="s">
        <v>159</v>
      </c>
      <c r="H1454" s="663"/>
      <c r="I1454" s="663">
        <f>I1453</f>
        <v>0</v>
      </c>
      <c r="J1454" s="273"/>
      <c r="K1454" s="154" t="e">
        <f>VLOOKUP(A1454,#REF!,1,0)</f>
        <v>#REF!</v>
      </c>
    </row>
    <row r="1455" spans="2:11" outlineLevel="1">
      <c r="B1455" s="662"/>
      <c r="C1455" s="669"/>
      <c r="D1455" s="670"/>
      <c r="E1455" s="688"/>
      <c r="F1455" s="662"/>
      <c r="G1455" s="662"/>
      <c r="H1455" s="663"/>
      <c r="I1455" s="663"/>
      <c r="J1455" s="273"/>
      <c r="K1455" s="154" t="e">
        <f>VLOOKUP(A1455,#REF!,1,0)</f>
        <v>#REF!</v>
      </c>
    </row>
    <row r="1456" spans="2:11" outlineLevel="1">
      <c r="B1456" s="659" t="s">
        <v>160</v>
      </c>
      <c r="C1456" s="660" t="s">
        <v>161</v>
      </c>
      <c r="D1456" s="661"/>
      <c r="E1456" s="673"/>
      <c r="F1456" s="663"/>
      <c r="G1456" s="663"/>
      <c r="H1456" s="663"/>
      <c r="I1456" s="666">
        <f>I1454+I1451+I1445</f>
        <v>3726700</v>
      </c>
      <c r="J1456" s="273"/>
      <c r="K1456" s="154" t="e">
        <f>VLOOKUP(A1456,#REF!,1,0)</f>
        <v>#REF!</v>
      </c>
    </row>
    <row r="1457" spans="1:13" outlineLevel="1">
      <c r="B1457" s="659" t="s">
        <v>162</v>
      </c>
      <c r="C1457" s="660" t="s">
        <v>82</v>
      </c>
      <c r="D1457" s="661"/>
      <c r="E1457" s="752"/>
      <c r="F1457" s="671"/>
      <c r="G1457" s="672">
        <f>$J$3</f>
        <v>0.15</v>
      </c>
      <c r="H1457" s="673"/>
      <c r="I1457" s="674">
        <f>I1456*G1457</f>
        <v>559005</v>
      </c>
      <c r="J1457" s="273"/>
      <c r="K1457" s="154" t="e">
        <f>VLOOKUP(A1457,#REF!,1,0)</f>
        <v>#REF!</v>
      </c>
    </row>
    <row r="1458" spans="1:13" outlineLevel="1">
      <c r="B1458" s="659" t="s">
        <v>163</v>
      </c>
      <c r="C1458" s="660" t="s">
        <v>164</v>
      </c>
      <c r="D1458" s="661"/>
      <c r="E1458" s="673"/>
      <c r="F1458" s="663"/>
      <c r="G1458" s="663"/>
      <c r="H1458" s="663"/>
      <c r="I1458" s="666">
        <f>I1457+I1456</f>
        <v>4285705</v>
      </c>
      <c r="J1458" s="273"/>
      <c r="K1458" s="154" t="e">
        <f>VLOOKUP(A1458,#REF!,1,0)</f>
        <v>#REF!</v>
      </c>
    </row>
    <row r="1459" spans="1:13" outlineLevel="1">
      <c r="B1459" s="184"/>
      <c r="D1459" s="186"/>
      <c r="E1459" s="186"/>
      <c r="F1459" s="280"/>
      <c r="G1459" s="280"/>
      <c r="H1459" s="280"/>
      <c r="I1459" s="331"/>
      <c r="J1459" s="273"/>
      <c r="K1459" s="154" t="e">
        <f>VLOOKUP(A1459,#REF!,1,0)</f>
        <v>#REF!</v>
      </c>
    </row>
    <row r="1460" spans="1:13">
      <c r="A1460" s="167" t="str">
        <f>B1460</f>
        <v>A.5.1.1 12.</v>
      </c>
      <c r="B1460" s="287" t="s">
        <v>743</v>
      </c>
      <c r="D1460" s="167" t="s">
        <v>744</v>
      </c>
      <c r="J1460" s="273">
        <f>I1478</f>
        <v>2714086.25</v>
      </c>
      <c r="K1460" s="154" t="e">
        <f>VLOOKUP(A1460,#REF!,1,0)</f>
        <v>#REF!</v>
      </c>
    </row>
    <row r="1461" spans="1:13" ht="31.2" outlineLevel="1">
      <c r="A1461" s="163"/>
      <c r="B1461" s="658" t="s">
        <v>75</v>
      </c>
      <c r="C1461" s="1249" t="s">
        <v>140</v>
      </c>
      <c r="D1461" s="1250"/>
      <c r="E1461" s="658" t="s">
        <v>141</v>
      </c>
      <c r="F1461" s="658" t="s">
        <v>142</v>
      </c>
      <c r="G1461" s="658" t="s">
        <v>143</v>
      </c>
      <c r="H1461" s="659" t="s">
        <v>144</v>
      </c>
      <c r="I1461" s="659" t="s">
        <v>145</v>
      </c>
      <c r="J1461" s="625"/>
      <c r="K1461" s="154" t="e">
        <f>VLOOKUP(A1461,#REF!,1,0)</f>
        <v>#REF!</v>
      </c>
    </row>
    <row r="1462" spans="1:13" outlineLevel="1">
      <c r="B1462" s="659" t="s">
        <v>146</v>
      </c>
      <c r="C1462" s="660" t="s">
        <v>147</v>
      </c>
      <c r="D1462" s="661"/>
      <c r="E1462" s="688"/>
      <c r="F1462" s="662"/>
      <c r="G1462" s="662"/>
      <c r="H1462" s="663"/>
      <c r="I1462" s="663"/>
      <c r="J1462" s="273"/>
      <c r="K1462" s="154" t="e">
        <f>VLOOKUP(A1462,#REF!,1,0)</f>
        <v>#REF!</v>
      </c>
    </row>
    <row r="1463" spans="1:13" outlineLevel="1">
      <c r="B1463" s="659"/>
      <c r="C1463" s="660" t="s">
        <v>77</v>
      </c>
      <c r="D1463" s="661"/>
      <c r="E1463" s="659" t="s">
        <v>148</v>
      </c>
      <c r="F1463" s="664" t="s">
        <v>76</v>
      </c>
      <c r="G1463" s="664">
        <v>0.03</v>
      </c>
      <c r="H1463" s="174">
        <f>VLOOKUP(C1463,'UPAH-BAHAN'!D:F,2,0)</f>
        <v>120000</v>
      </c>
      <c r="I1463" s="631">
        <f t="shared" ref="I1463:I1466" si="21">H1463*G1463</f>
        <v>3600</v>
      </c>
      <c r="J1463" s="273"/>
      <c r="K1463" s="154" t="e">
        <f>VLOOKUP(A1463,#REF!,1,0)</f>
        <v>#REF!</v>
      </c>
      <c r="L1463" s="756" t="s">
        <v>745</v>
      </c>
      <c r="M1463" s="154">
        <v>0.03</v>
      </c>
    </row>
    <row r="1464" spans="1:13" outlineLevel="1">
      <c r="B1464" s="659"/>
      <c r="C1464" s="660" t="s">
        <v>86</v>
      </c>
      <c r="D1464" s="661"/>
      <c r="E1464" s="659" t="s">
        <v>149</v>
      </c>
      <c r="F1464" s="664" t="s">
        <v>76</v>
      </c>
      <c r="G1464" s="664">
        <v>0.3</v>
      </c>
      <c r="H1464" s="174">
        <f>VLOOKUP(C1464,'UPAH-BAHAN'!D:F,2,0)</f>
        <v>160000</v>
      </c>
      <c r="I1464" s="631">
        <f t="shared" si="21"/>
        <v>48000</v>
      </c>
      <c r="J1464" s="273"/>
      <c r="K1464" s="154" t="e">
        <f>VLOOKUP(A1464,#REF!,1,0)</f>
        <v>#REF!</v>
      </c>
      <c r="L1464" s="756" t="s">
        <v>746</v>
      </c>
      <c r="M1464" s="154">
        <v>0.3</v>
      </c>
    </row>
    <row r="1465" spans="1:13" outlineLevel="1">
      <c r="B1465" s="659"/>
      <c r="C1465" s="660" t="s">
        <v>99</v>
      </c>
      <c r="D1465" s="661"/>
      <c r="E1465" s="659" t="s">
        <v>150</v>
      </c>
      <c r="F1465" s="664" t="s">
        <v>76</v>
      </c>
      <c r="G1465" s="664">
        <v>0.03</v>
      </c>
      <c r="H1465" s="174">
        <f>VLOOKUP(C1465,'UPAH-BAHAN'!D:F,2,0)</f>
        <v>170000</v>
      </c>
      <c r="I1465" s="631">
        <f t="shared" si="21"/>
        <v>5100</v>
      </c>
      <c r="J1465" s="273"/>
      <c r="K1465" s="154" t="e">
        <f>VLOOKUP(A1465,#REF!,1,0)</f>
        <v>#REF!</v>
      </c>
      <c r="L1465" s="756" t="s">
        <v>747</v>
      </c>
      <c r="M1465" s="154">
        <v>0.03</v>
      </c>
    </row>
    <row r="1466" spans="1:13" outlineLevel="1">
      <c r="B1466" s="659"/>
      <c r="C1466" s="660" t="s">
        <v>80</v>
      </c>
      <c r="D1466" s="661"/>
      <c r="E1466" s="659" t="s">
        <v>151</v>
      </c>
      <c r="F1466" s="664" t="s">
        <v>76</v>
      </c>
      <c r="G1466" s="664">
        <v>1.4999999999999999E-2</v>
      </c>
      <c r="H1466" s="174">
        <f>VLOOKUP(C1466,'UPAH-BAHAN'!D:F,2,0)</f>
        <v>225000</v>
      </c>
      <c r="I1466" s="631">
        <f t="shared" si="21"/>
        <v>3375</v>
      </c>
      <c r="J1466" s="273"/>
      <c r="K1466" s="154" t="e">
        <f>VLOOKUP(A1466,#REF!,1,0)</f>
        <v>#REF!</v>
      </c>
      <c r="L1466" s="756" t="s">
        <v>748</v>
      </c>
      <c r="M1466" s="154">
        <v>1.4999999999999999E-2</v>
      </c>
    </row>
    <row r="1467" spans="1:13" outlineLevel="1">
      <c r="B1467" s="659"/>
      <c r="C1467" s="660"/>
      <c r="D1467" s="661"/>
      <c r="E1467" s="688"/>
      <c r="F1467" s="662"/>
      <c r="G1467" s="660" t="s">
        <v>171</v>
      </c>
      <c r="H1467" s="666"/>
      <c r="I1467" s="666">
        <f>SUM(I1463:I1466)</f>
        <v>60075</v>
      </c>
      <c r="J1467" s="273"/>
      <c r="K1467" s="154" t="e">
        <f>VLOOKUP(A1467,#REF!,1,0)</f>
        <v>#REF!</v>
      </c>
    </row>
    <row r="1468" spans="1:13" outlineLevel="1">
      <c r="B1468" s="659" t="s">
        <v>153</v>
      </c>
      <c r="C1468" s="660" t="s">
        <v>154</v>
      </c>
      <c r="D1468" s="661"/>
      <c r="E1468" s="688"/>
      <c r="F1468" s="662"/>
      <c r="G1468" s="662"/>
      <c r="H1468" s="666"/>
      <c r="I1468" s="666"/>
      <c r="J1468" s="273"/>
      <c r="K1468" s="154" t="e">
        <f>VLOOKUP(A1468,#REF!,1,0)</f>
        <v>#REF!</v>
      </c>
    </row>
    <row r="1469" spans="1:13" outlineLevel="1">
      <c r="B1469" s="659"/>
      <c r="C1469" s="730" t="s">
        <v>749</v>
      </c>
      <c r="D1469" s="661"/>
      <c r="E1469" s="688"/>
      <c r="F1469" s="664" t="s">
        <v>741</v>
      </c>
      <c r="G1469" s="664">
        <v>1</v>
      </c>
      <c r="H1469" s="174">
        <f>VLOOKUP(C1469,'UPAH-BAHAN'!D:F,2,0)</f>
        <v>2000000</v>
      </c>
      <c r="I1469" s="631">
        <f t="shared" ref="I1469:I1470" si="22">H1469*G1469</f>
        <v>2000000</v>
      </c>
      <c r="J1469" s="273"/>
      <c r="K1469" s="154" t="e">
        <f>VLOOKUP(A1469,#REF!,1,0)</f>
        <v>#REF!</v>
      </c>
    </row>
    <row r="1470" spans="1:13" outlineLevel="1">
      <c r="B1470" s="659"/>
      <c r="C1470" s="730" t="s">
        <v>614</v>
      </c>
      <c r="D1470" s="661"/>
      <c r="E1470" s="688"/>
      <c r="F1470" s="664" t="s">
        <v>20</v>
      </c>
      <c r="G1470" s="726">
        <v>0.15</v>
      </c>
      <c r="H1470" s="174">
        <f>H1469</f>
        <v>2000000</v>
      </c>
      <c r="I1470" s="631">
        <f t="shared" si="22"/>
        <v>300000</v>
      </c>
      <c r="J1470" s="273"/>
      <c r="K1470" s="154" t="e">
        <f>VLOOKUP(A1470,#REF!,1,0)</f>
        <v>#REF!</v>
      </c>
    </row>
    <row r="1471" spans="1:13" outlineLevel="1">
      <c r="B1471" s="659"/>
      <c r="C1471" s="660"/>
      <c r="D1471" s="661"/>
      <c r="E1471" s="688"/>
      <c r="F1471" s="662"/>
      <c r="G1471" s="660" t="s">
        <v>172</v>
      </c>
      <c r="H1471" s="666"/>
      <c r="I1471" s="666">
        <f>SUM(I1469:I1470)</f>
        <v>2300000</v>
      </c>
      <c r="J1471" s="273"/>
      <c r="K1471" s="154" t="e">
        <f>VLOOKUP(A1471,#REF!,1,0)</f>
        <v>#REF!</v>
      </c>
    </row>
    <row r="1472" spans="1:13" outlineLevel="1">
      <c r="B1472" s="659" t="s">
        <v>157</v>
      </c>
      <c r="C1472" s="660" t="s">
        <v>158</v>
      </c>
      <c r="D1472" s="661"/>
      <c r="E1472" s="688"/>
      <c r="F1472" s="662"/>
      <c r="G1472" s="662"/>
      <c r="H1472" s="663"/>
      <c r="I1472" s="663"/>
      <c r="J1472" s="273"/>
      <c r="K1472" s="154" t="e">
        <f>VLOOKUP(A1472,#REF!,1,0)</f>
        <v>#REF!</v>
      </c>
    </row>
    <row r="1473" spans="1:14" outlineLevel="1">
      <c r="B1473" s="659"/>
      <c r="C1473" s="660"/>
      <c r="D1473" s="661"/>
      <c r="E1473" s="688"/>
      <c r="F1473" s="662"/>
      <c r="G1473" s="662"/>
      <c r="H1473" s="663"/>
      <c r="I1473" s="663"/>
      <c r="J1473" s="273"/>
      <c r="K1473" s="154" t="e">
        <f>VLOOKUP(A1473,#REF!,1,0)</f>
        <v>#REF!</v>
      </c>
    </row>
    <row r="1474" spans="1:14" outlineLevel="1">
      <c r="B1474" s="664"/>
      <c r="C1474" s="667"/>
      <c r="D1474" s="668"/>
      <c r="E1474" s="688"/>
      <c r="F1474" s="662"/>
      <c r="G1474" s="660" t="s">
        <v>159</v>
      </c>
      <c r="H1474" s="663"/>
      <c r="I1474" s="663">
        <f>I1473</f>
        <v>0</v>
      </c>
      <c r="J1474" s="273"/>
      <c r="K1474" s="154" t="e">
        <f>VLOOKUP(A1474,#REF!,1,0)</f>
        <v>#REF!</v>
      </c>
    </row>
    <row r="1475" spans="1:14" outlineLevel="1">
      <c r="B1475" s="662"/>
      <c r="C1475" s="669"/>
      <c r="D1475" s="670"/>
      <c r="E1475" s="688"/>
      <c r="F1475" s="662"/>
      <c r="G1475" s="662"/>
      <c r="H1475" s="663"/>
      <c r="I1475" s="663"/>
      <c r="J1475" s="273"/>
      <c r="K1475" s="154" t="e">
        <f>VLOOKUP(A1475,#REF!,1,0)</f>
        <v>#REF!</v>
      </c>
    </row>
    <row r="1476" spans="1:14" outlineLevel="1">
      <c r="B1476" s="659" t="s">
        <v>160</v>
      </c>
      <c r="C1476" s="660" t="s">
        <v>161</v>
      </c>
      <c r="D1476" s="661"/>
      <c r="E1476" s="673"/>
      <c r="F1476" s="663"/>
      <c r="G1476" s="663"/>
      <c r="H1476" s="663"/>
      <c r="I1476" s="666">
        <f>I1474+I1471+I1467</f>
        <v>2360075</v>
      </c>
      <c r="J1476" s="273"/>
      <c r="K1476" s="154" t="e">
        <f>VLOOKUP(A1476,#REF!,1,0)</f>
        <v>#REF!</v>
      </c>
    </row>
    <row r="1477" spans="1:14" outlineLevel="1">
      <c r="B1477" s="659" t="s">
        <v>162</v>
      </c>
      <c r="C1477" s="660" t="s">
        <v>82</v>
      </c>
      <c r="D1477" s="661"/>
      <c r="E1477" s="752"/>
      <c r="F1477" s="671"/>
      <c r="G1477" s="672">
        <f>$J$3</f>
        <v>0.15</v>
      </c>
      <c r="H1477" s="673"/>
      <c r="I1477" s="674">
        <f>I1476*G1477</f>
        <v>354011.25</v>
      </c>
      <c r="J1477" s="273"/>
      <c r="K1477" s="154" t="e">
        <f>VLOOKUP(A1477,#REF!,1,0)</f>
        <v>#REF!</v>
      </c>
    </row>
    <row r="1478" spans="1:14" outlineLevel="1">
      <c r="B1478" s="659" t="s">
        <v>163</v>
      </c>
      <c r="C1478" s="660" t="s">
        <v>164</v>
      </c>
      <c r="D1478" s="661"/>
      <c r="E1478" s="673"/>
      <c r="F1478" s="663"/>
      <c r="G1478" s="663"/>
      <c r="H1478" s="663"/>
      <c r="I1478" s="666">
        <f>I1477+I1476</f>
        <v>2714086.25</v>
      </c>
      <c r="J1478" s="273"/>
      <c r="K1478" s="154" t="e">
        <f>VLOOKUP(A1478,#REF!,1,0)</f>
        <v>#REF!</v>
      </c>
    </row>
    <row r="1479" spans="1:14" outlineLevel="1">
      <c r="B1479" s="184"/>
      <c r="D1479" s="186"/>
      <c r="E1479" s="186"/>
      <c r="F1479" s="280"/>
      <c r="G1479" s="280"/>
      <c r="H1479" s="280"/>
      <c r="I1479" s="331"/>
      <c r="J1479" s="273"/>
      <c r="K1479" s="154" t="e">
        <f>VLOOKUP(A1479,#REF!,1,0)</f>
        <v>#REF!</v>
      </c>
    </row>
    <row r="1480" spans="1:14">
      <c r="A1480" s="167" t="str">
        <f>B1480</f>
        <v>A.5.1.1.14.</v>
      </c>
      <c r="B1480" s="287" t="s">
        <v>750</v>
      </c>
      <c r="D1480" s="167" t="s">
        <v>616</v>
      </c>
      <c r="J1480" s="273">
        <f>I1497</f>
        <v>161028.75</v>
      </c>
      <c r="K1480" s="154" t="e">
        <f>VLOOKUP(A1480,#REF!,1,0)</f>
        <v>#REF!</v>
      </c>
    </row>
    <row r="1481" spans="1:14" ht="31.2" outlineLevel="1">
      <c r="A1481" s="163"/>
      <c r="B1481" s="658" t="s">
        <v>75</v>
      </c>
      <c r="C1481" s="1249" t="s">
        <v>140</v>
      </c>
      <c r="D1481" s="1250"/>
      <c r="E1481" s="658" t="s">
        <v>141</v>
      </c>
      <c r="F1481" s="658" t="s">
        <v>142</v>
      </c>
      <c r="G1481" s="658" t="s">
        <v>143</v>
      </c>
      <c r="H1481" s="659" t="s">
        <v>144</v>
      </c>
      <c r="I1481" s="659" t="s">
        <v>145</v>
      </c>
      <c r="J1481" s="625"/>
      <c r="K1481" s="154" t="e">
        <f>VLOOKUP(A1481,#REF!,1,0)</f>
        <v>#REF!</v>
      </c>
    </row>
    <row r="1482" spans="1:14" outlineLevel="1">
      <c r="B1482" s="659" t="s">
        <v>146</v>
      </c>
      <c r="C1482" s="660" t="s">
        <v>147</v>
      </c>
      <c r="D1482" s="661"/>
      <c r="E1482" s="688"/>
      <c r="F1482" s="662"/>
      <c r="G1482" s="662"/>
      <c r="H1482" s="663"/>
      <c r="I1482" s="663"/>
      <c r="J1482" s="273"/>
      <c r="K1482" s="154" t="e">
        <f>VLOOKUP(A1482,#REF!,1,0)</f>
        <v>#REF!</v>
      </c>
    </row>
    <row r="1483" spans="1:14" outlineLevel="1">
      <c r="B1483" s="659"/>
      <c r="C1483" s="660" t="s">
        <v>77</v>
      </c>
      <c r="D1483" s="661"/>
      <c r="E1483" s="659" t="s">
        <v>148</v>
      </c>
      <c r="F1483" s="664" t="s">
        <v>76</v>
      </c>
      <c r="G1483" s="664">
        <v>0.01</v>
      </c>
      <c r="H1483" s="174">
        <f>VLOOKUP(C1483,'UPAH-BAHAN'!D:F,2,0)</f>
        <v>120000</v>
      </c>
      <c r="I1483" s="631">
        <f t="shared" ref="I1483:I1486" si="23">H1483*G1483</f>
        <v>1200</v>
      </c>
      <c r="J1483" s="273"/>
      <c r="K1483" s="154" t="e">
        <f>VLOOKUP(A1483,#REF!,1,0)</f>
        <v>#REF!</v>
      </c>
      <c r="L1483" s="756" t="s">
        <v>751</v>
      </c>
      <c r="M1483" s="154">
        <v>0.01</v>
      </c>
      <c r="N1483" s="154">
        <v>0.01</v>
      </c>
    </row>
    <row r="1484" spans="1:14" outlineLevel="1">
      <c r="B1484" s="659"/>
      <c r="C1484" s="660" t="s">
        <v>86</v>
      </c>
      <c r="D1484" s="661"/>
      <c r="E1484" s="659" t="s">
        <v>149</v>
      </c>
      <c r="F1484" s="664" t="s">
        <v>76</v>
      </c>
      <c r="G1484" s="664">
        <v>0.1</v>
      </c>
      <c r="H1484" s="174">
        <f>VLOOKUP(C1484,'UPAH-BAHAN'!D:F,2,0)</f>
        <v>160000</v>
      </c>
      <c r="I1484" s="631">
        <f t="shared" si="23"/>
        <v>16000</v>
      </c>
      <c r="J1484" s="273"/>
      <c r="K1484" s="154" t="e">
        <f>VLOOKUP(A1484,#REF!,1,0)</f>
        <v>#REF!</v>
      </c>
      <c r="L1484" s="756" t="s">
        <v>746</v>
      </c>
      <c r="M1484" s="154">
        <v>0.1</v>
      </c>
    </row>
    <row r="1485" spans="1:14" outlineLevel="1">
      <c r="B1485" s="659"/>
      <c r="C1485" s="660" t="s">
        <v>99</v>
      </c>
      <c r="D1485" s="661"/>
      <c r="E1485" s="659" t="s">
        <v>150</v>
      </c>
      <c r="F1485" s="664" t="s">
        <v>76</v>
      </c>
      <c r="G1485" s="664">
        <v>0.01</v>
      </c>
      <c r="H1485" s="174">
        <f>VLOOKUP(C1485,'UPAH-BAHAN'!D:F,2,0)</f>
        <v>170000</v>
      </c>
      <c r="I1485" s="631">
        <f t="shared" si="23"/>
        <v>1700</v>
      </c>
      <c r="J1485" s="273"/>
      <c r="K1485" s="154" t="e">
        <f>VLOOKUP(A1485,#REF!,1,0)</f>
        <v>#REF!</v>
      </c>
      <c r="L1485" s="756" t="s">
        <v>747</v>
      </c>
      <c r="M1485" s="154">
        <v>0.01</v>
      </c>
    </row>
    <row r="1486" spans="1:14" outlineLevel="1">
      <c r="B1486" s="659"/>
      <c r="C1486" s="660" t="s">
        <v>80</v>
      </c>
      <c r="D1486" s="661"/>
      <c r="E1486" s="659" t="s">
        <v>151</v>
      </c>
      <c r="F1486" s="664" t="s">
        <v>76</v>
      </c>
      <c r="G1486" s="664">
        <v>5.0000000000000001E-3</v>
      </c>
      <c r="H1486" s="174">
        <f>VLOOKUP(C1486,'UPAH-BAHAN'!D:F,2,0)</f>
        <v>225000</v>
      </c>
      <c r="I1486" s="631">
        <f t="shared" si="23"/>
        <v>1125</v>
      </c>
      <c r="J1486" s="273"/>
      <c r="K1486" s="154" t="e">
        <f>VLOOKUP(A1486,#REF!,1,0)</f>
        <v>#REF!</v>
      </c>
      <c r="L1486" s="756" t="s">
        <v>748</v>
      </c>
      <c r="M1486" s="154">
        <v>5.0000000000000001E-3</v>
      </c>
    </row>
    <row r="1487" spans="1:14" outlineLevel="1">
      <c r="B1487" s="659"/>
      <c r="C1487" s="660"/>
      <c r="D1487" s="661"/>
      <c r="E1487" s="688"/>
      <c r="F1487" s="662"/>
      <c r="G1487" s="660" t="s">
        <v>171</v>
      </c>
      <c r="H1487" s="666"/>
      <c r="I1487" s="666">
        <f>SUM(I1483:I1486)</f>
        <v>20025</v>
      </c>
      <c r="J1487" s="273"/>
      <c r="K1487" s="154" t="e">
        <f>VLOOKUP(A1487,#REF!,1,0)</f>
        <v>#REF!</v>
      </c>
    </row>
    <row r="1488" spans="1:14" outlineLevel="1">
      <c r="B1488" s="659" t="s">
        <v>153</v>
      </c>
      <c r="C1488" s="660" t="s">
        <v>154</v>
      </c>
      <c r="D1488" s="661"/>
      <c r="E1488" s="688"/>
      <c r="F1488" s="662"/>
      <c r="G1488" s="662"/>
      <c r="H1488" s="666"/>
      <c r="I1488" s="666"/>
      <c r="J1488" s="273"/>
      <c r="K1488" s="154" t="e">
        <f>VLOOKUP(A1488,#REF!,1,0)</f>
        <v>#REF!</v>
      </c>
    </row>
    <row r="1489" spans="1:14" outlineLevel="1">
      <c r="B1489" s="659"/>
      <c r="C1489" s="730" t="s">
        <v>752</v>
      </c>
      <c r="D1489" s="661"/>
      <c r="E1489" s="688"/>
      <c r="F1489" s="664" t="s">
        <v>741</v>
      </c>
      <c r="G1489" s="664">
        <v>1</v>
      </c>
      <c r="H1489" s="174">
        <f>VLOOKUP(C1489,'UPAH-BAHAN'!D:F,2,0)</f>
        <v>120000</v>
      </c>
      <c r="I1489" s="631">
        <f>H1489*G1489</f>
        <v>120000</v>
      </c>
      <c r="J1489" s="273"/>
      <c r="K1489" s="154" t="e">
        <f>VLOOKUP(A1489,#REF!,1,0)</f>
        <v>#REF!</v>
      </c>
    </row>
    <row r="1490" spans="1:14" outlineLevel="1">
      <c r="B1490" s="659"/>
      <c r="C1490" s="660"/>
      <c r="D1490" s="661"/>
      <c r="E1490" s="688"/>
      <c r="F1490" s="662"/>
      <c r="G1490" s="660" t="s">
        <v>172</v>
      </c>
      <c r="H1490" s="666"/>
      <c r="I1490" s="666">
        <f>SUM(I1489:I1489)</f>
        <v>120000</v>
      </c>
      <c r="J1490" s="273"/>
      <c r="K1490" s="154" t="e">
        <f>VLOOKUP(A1490,#REF!,1,0)</f>
        <v>#REF!</v>
      </c>
    </row>
    <row r="1491" spans="1:14" outlineLevel="1">
      <c r="B1491" s="659" t="s">
        <v>157</v>
      </c>
      <c r="C1491" s="660" t="s">
        <v>158</v>
      </c>
      <c r="D1491" s="661"/>
      <c r="E1491" s="688"/>
      <c r="F1491" s="662"/>
      <c r="G1491" s="662"/>
      <c r="H1491" s="663"/>
      <c r="I1491" s="663"/>
      <c r="J1491" s="273"/>
      <c r="K1491" s="154" t="e">
        <f>VLOOKUP(A1491,#REF!,1,0)</f>
        <v>#REF!</v>
      </c>
    </row>
    <row r="1492" spans="1:14" outlineLevel="1">
      <c r="B1492" s="659"/>
      <c r="C1492" s="660"/>
      <c r="D1492" s="661"/>
      <c r="E1492" s="688"/>
      <c r="F1492" s="662"/>
      <c r="G1492" s="662"/>
      <c r="H1492" s="663"/>
      <c r="I1492" s="663"/>
      <c r="J1492" s="273"/>
      <c r="K1492" s="154" t="e">
        <f>VLOOKUP(A1492,#REF!,1,0)</f>
        <v>#REF!</v>
      </c>
    </row>
    <row r="1493" spans="1:14" outlineLevel="1">
      <c r="B1493" s="664"/>
      <c r="C1493" s="667"/>
      <c r="D1493" s="668"/>
      <c r="E1493" s="688"/>
      <c r="F1493" s="662"/>
      <c r="G1493" s="660" t="s">
        <v>159</v>
      </c>
      <c r="H1493" s="663"/>
      <c r="I1493" s="663">
        <f>I1492</f>
        <v>0</v>
      </c>
      <c r="J1493" s="273"/>
      <c r="K1493" s="154" t="e">
        <f>VLOOKUP(A1493,#REF!,1,0)</f>
        <v>#REF!</v>
      </c>
    </row>
    <row r="1494" spans="1:14" outlineLevel="1">
      <c r="B1494" s="662"/>
      <c r="C1494" s="669"/>
      <c r="D1494" s="670"/>
      <c r="E1494" s="688"/>
      <c r="F1494" s="662"/>
      <c r="G1494" s="662"/>
      <c r="H1494" s="663"/>
      <c r="I1494" s="663"/>
      <c r="J1494" s="273"/>
      <c r="K1494" s="154" t="e">
        <f>VLOOKUP(A1494,#REF!,1,0)</f>
        <v>#REF!</v>
      </c>
    </row>
    <row r="1495" spans="1:14" outlineLevel="1">
      <c r="B1495" s="659" t="s">
        <v>160</v>
      </c>
      <c r="C1495" s="660" t="s">
        <v>161</v>
      </c>
      <c r="D1495" s="661"/>
      <c r="E1495" s="673"/>
      <c r="F1495" s="663"/>
      <c r="G1495" s="663"/>
      <c r="H1495" s="663"/>
      <c r="I1495" s="666">
        <f>I1493+I1490+I1487</f>
        <v>140025</v>
      </c>
      <c r="J1495" s="273"/>
      <c r="K1495" s="154" t="e">
        <f>VLOOKUP(A1495,#REF!,1,0)</f>
        <v>#REF!</v>
      </c>
    </row>
    <row r="1496" spans="1:14" outlineLevel="1">
      <c r="B1496" s="659" t="s">
        <v>162</v>
      </c>
      <c r="C1496" s="660" t="s">
        <v>82</v>
      </c>
      <c r="D1496" s="661"/>
      <c r="E1496" s="752"/>
      <c r="F1496" s="671"/>
      <c r="G1496" s="672">
        <f>$J$3</f>
        <v>0.15</v>
      </c>
      <c r="H1496" s="673"/>
      <c r="I1496" s="674">
        <f>I1495*G1496</f>
        <v>21003.75</v>
      </c>
      <c r="J1496" s="273"/>
      <c r="K1496" s="154" t="e">
        <f>VLOOKUP(A1496,#REF!,1,0)</f>
        <v>#REF!</v>
      </c>
    </row>
    <row r="1497" spans="1:14" outlineLevel="1">
      <c r="B1497" s="659" t="s">
        <v>163</v>
      </c>
      <c r="C1497" s="660" t="s">
        <v>164</v>
      </c>
      <c r="D1497" s="661"/>
      <c r="E1497" s="673"/>
      <c r="F1497" s="663"/>
      <c r="G1497" s="663"/>
      <c r="H1497" s="663"/>
      <c r="I1497" s="666">
        <f>I1496+I1495</f>
        <v>161028.75</v>
      </c>
      <c r="J1497" s="273"/>
      <c r="K1497" s="154" t="e">
        <f>VLOOKUP(A1497,#REF!,1,0)</f>
        <v>#REF!</v>
      </c>
    </row>
    <row r="1498" spans="1:14" outlineLevel="1">
      <c r="B1498" s="184"/>
      <c r="D1498" s="186"/>
      <c r="E1498" s="186"/>
      <c r="F1498" s="280"/>
      <c r="G1498" s="280"/>
      <c r="H1498" s="280"/>
      <c r="I1498" s="331"/>
      <c r="J1498" s="273"/>
      <c r="K1498" s="154" t="e">
        <f>VLOOKUP(A1498,#REF!,1,0)</f>
        <v>#REF!</v>
      </c>
    </row>
    <row r="1499" spans="1:14">
      <c r="A1499" s="167" t="str">
        <f>B1499</f>
        <v>A.5.1.1.15.</v>
      </c>
      <c r="B1499" s="287" t="s">
        <v>845</v>
      </c>
      <c r="D1499" s="167" t="s">
        <v>846</v>
      </c>
      <c r="J1499" s="273">
        <f>I1516</f>
        <v>311448.75</v>
      </c>
      <c r="K1499" s="154" t="e">
        <f>VLOOKUP(A1499,#REF!,1,0)</f>
        <v>#REF!</v>
      </c>
    </row>
    <row r="1500" spans="1:14" ht="31.2" outlineLevel="1">
      <c r="A1500" s="163"/>
      <c r="B1500" s="658" t="s">
        <v>75</v>
      </c>
      <c r="C1500" s="1249" t="s">
        <v>140</v>
      </c>
      <c r="D1500" s="1250"/>
      <c r="E1500" s="658" t="s">
        <v>141</v>
      </c>
      <c r="F1500" s="658" t="s">
        <v>142</v>
      </c>
      <c r="G1500" s="658" t="s">
        <v>143</v>
      </c>
      <c r="H1500" s="659" t="s">
        <v>144</v>
      </c>
      <c r="I1500" s="659" t="s">
        <v>145</v>
      </c>
      <c r="J1500" s="625"/>
      <c r="K1500" s="154" t="e">
        <f>VLOOKUP(A1500,#REF!,1,0)</f>
        <v>#REF!</v>
      </c>
    </row>
    <row r="1501" spans="1:14" outlineLevel="1">
      <c r="B1501" s="659" t="s">
        <v>146</v>
      </c>
      <c r="C1501" s="660" t="s">
        <v>147</v>
      </c>
      <c r="D1501" s="661"/>
      <c r="E1501" s="688"/>
      <c r="F1501" s="662"/>
      <c r="G1501" s="662"/>
      <c r="H1501" s="663"/>
      <c r="I1501" s="663"/>
      <c r="J1501" s="273"/>
      <c r="K1501" s="154" t="e">
        <f>VLOOKUP(A1501,#REF!,1,0)</f>
        <v>#REF!</v>
      </c>
    </row>
    <row r="1502" spans="1:14" outlineLevel="1">
      <c r="B1502" s="659"/>
      <c r="C1502" s="660" t="s">
        <v>77</v>
      </c>
      <c r="D1502" s="661"/>
      <c r="E1502" s="659" t="s">
        <v>148</v>
      </c>
      <c r="F1502" s="664" t="s">
        <v>76</v>
      </c>
      <c r="G1502" s="664">
        <v>0.01</v>
      </c>
      <c r="H1502" s="174">
        <f>VLOOKUP(C1502,'UPAH-BAHAN'!D:F,2,0)</f>
        <v>120000</v>
      </c>
      <c r="I1502" s="631">
        <f t="shared" ref="I1502:I1505" si="24">H1502*G1502</f>
        <v>1200</v>
      </c>
      <c r="J1502" s="273"/>
      <c r="K1502" s="154" t="e">
        <f>VLOOKUP(A1502,#REF!,1,0)</f>
        <v>#REF!</v>
      </c>
      <c r="L1502" s="756" t="s">
        <v>751</v>
      </c>
      <c r="M1502" s="154">
        <v>0.01</v>
      </c>
      <c r="N1502" s="154">
        <v>0.01</v>
      </c>
    </row>
    <row r="1503" spans="1:14" outlineLevel="1">
      <c r="B1503" s="659"/>
      <c r="C1503" s="660" t="s">
        <v>86</v>
      </c>
      <c r="D1503" s="661"/>
      <c r="E1503" s="659" t="s">
        <v>149</v>
      </c>
      <c r="F1503" s="664" t="s">
        <v>76</v>
      </c>
      <c r="G1503" s="664">
        <v>0.1</v>
      </c>
      <c r="H1503" s="174">
        <f>VLOOKUP(C1503,'UPAH-BAHAN'!D:F,2,0)</f>
        <v>160000</v>
      </c>
      <c r="I1503" s="631">
        <f t="shared" si="24"/>
        <v>16000</v>
      </c>
      <c r="J1503" s="273"/>
      <c r="K1503" s="154" t="e">
        <f>VLOOKUP(A1503,#REF!,1,0)</f>
        <v>#REF!</v>
      </c>
      <c r="L1503" s="756" t="s">
        <v>746</v>
      </c>
      <c r="M1503" s="154">
        <v>0.1</v>
      </c>
    </row>
    <row r="1504" spans="1:14" outlineLevel="1">
      <c r="B1504" s="659"/>
      <c r="C1504" s="660" t="s">
        <v>99</v>
      </c>
      <c r="D1504" s="661"/>
      <c r="E1504" s="659" t="s">
        <v>150</v>
      </c>
      <c r="F1504" s="664" t="s">
        <v>76</v>
      </c>
      <c r="G1504" s="664">
        <v>0.01</v>
      </c>
      <c r="H1504" s="174">
        <f>VLOOKUP(C1504,'UPAH-BAHAN'!D:F,2,0)</f>
        <v>170000</v>
      </c>
      <c r="I1504" s="631">
        <f t="shared" si="24"/>
        <v>1700</v>
      </c>
      <c r="J1504" s="273"/>
      <c r="K1504" s="154" t="e">
        <f>VLOOKUP(A1504,#REF!,1,0)</f>
        <v>#REF!</v>
      </c>
      <c r="L1504" s="756" t="s">
        <v>747</v>
      </c>
      <c r="M1504" s="154">
        <v>0.01</v>
      </c>
    </row>
    <row r="1505" spans="1:13" outlineLevel="1">
      <c r="B1505" s="659"/>
      <c r="C1505" s="660" t="s">
        <v>80</v>
      </c>
      <c r="D1505" s="661"/>
      <c r="E1505" s="659" t="s">
        <v>151</v>
      </c>
      <c r="F1505" s="664" t="s">
        <v>76</v>
      </c>
      <c r="G1505" s="664">
        <v>5.0000000000000001E-3</v>
      </c>
      <c r="H1505" s="174">
        <f>VLOOKUP(C1505,'UPAH-BAHAN'!D:F,2,0)</f>
        <v>225000</v>
      </c>
      <c r="I1505" s="631">
        <f t="shared" si="24"/>
        <v>1125</v>
      </c>
      <c r="J1505" s="273"/>
      <c r="K1505" s="154" t="e">
        <f>VLOOKUP(A1505,#REF!,1,0)</f>
        <v>#REF!</v>
      </c>
      <c r="L1505" s="756" t="s">
        <v>748</v>
      </c>
      <c r="M1505" s="154">
        <v>5.0000000000000001E-3</v>
      </c>
    </row>
    <row r="1506" spans="1:13" outlineLevel="1">
      <c r="B1506" s="659"/>
      <c r="C1506" s="660"/>
      <c r="D1506" s="661"/>
      <c r="E1506" s="688"/>
      <c r="F1506" s="662"/>
      <c r="G1506" s="660" t="s">
        <v>171</v>
      </c>
      <c r="H1506" s="666"/>
      <c r="I1506" s="666">
        <f>SUM(I1502:I1505)</f>
        <v>20025</v>
      </c>
      <c r="J1506" s="273"/>
      <c r="K1506" s="154" t="e">
        <f>VLOOKUP(A1506,#REF!,1,0)</f>
        <v>#REF!</v>
      </c>
    </row>
    <row r="1507" spans="1:13" outlineLevel="1">
      <c r="B1507" s="659" t="s">
        <v>153</v>
      </c>
      <c r="C1507" s="660" t="s">
        <v>154</v>
      </c>
      <c r="D1507" s="661"/>
      <c r="E1507" s="688"/>
      <c r="F1507" s="662"/>
      <c r="G1507" s="662"/>
      <c r="H1507" s="666"/>
      <c r="I1507" s="666"/>
      <c r="J1507" s="273"/>
      <c r="K1507" s="154" t="e">
        <f>VLOOKUP(A1507,#REF!,1,0)</f>
        <v>#REF!</v>
      </c>
    </row>
    <row r="1508" spans="1:13" outlineLevel="1">
      <c r="B1508" s="659"/>
      <c r="C1508" s="730" t="s">
        <v>517</v>
      </c>
      <c r="D1508" s="661"/>
      <c r="E1508" s="688"/>
      <c r="F1508" s="664" t="s">
        <v>741</v>
      </c>
      <c r="G1508" s="664">
        <v>1</v>
      </c>
      <c r="H1508" s="174">
        <f>VLOOKUP(C1508,'UPAH-BAHAN'!D:F,2,0)</f>
        <v>250800.00000000003</v>
      </c>
      <c r="I1508" s="631">
        <f>H1508*G1508</f>
        <v>250800.00000000003</v>
      </c>
      <c r="J1508" s="273"/>
      <c r="K1508" s="154" t="e">
        <f>VLOOKUP(A1508,#REF!,1,0)</f>
        <v>#REF!</v>
      </c>
    </row>
    <row r="1509" spans="1:13" outlineLevel="1">
      <c r="B1509" s="659"/>
      <c r="C1509" s="660"/>
      <c r="D1509" s="661"/>
      <c r="E1509" s="688"/>
      <c r="F1509" s="662"/>
      <c r="G1509" s="660" t="s">
        <v>172</v>
      </c>
      <c r="H1509" s="666"/>
      <c r="I1509" s="666">
        <f>SUM(I1508:I1508)</f>
        <v>250800.00000000003</v>
      </c>
      <c r="J1509" s="273"/>
      <c r="K1509" s="154" t="e">
        <f>VLOOKUP(A1509,#REF!,1,0)</f>
        <v>#REF!</v>
      </c>
    </row>
    <row r="1510" spans="1:13" outlineLevel="1">
      <c r="B1510" s="659" t="s">
        <v>157</v>
      </c>
      <c r="C1510" s="660" t="s">
        <v>158</v>
      </c>
      <c r="D1510" s="661"/>
      <c r="E1510" s="688"/>
      <c r="F1510" s="662"/>
      <c r="G1510" s="662"/>
      <c r="H1510" s="663"/>
      <c r="I1510" s="663"/>
      <c r="J1510" s="273"/>
      <c r="K1510" s="154" t="e">
        <f>VLOOKUP(A1510,#REF!,1,0)</f>
        <v>#REF!</v>
      </c>
    </row>
    <row r="1511" spans="1:13" outlineLevel="1">
      <c r="B1511" s="659"/>
      <c r="C1511" s="660"/>
      <c r="D1511" s="661"/>
      <c r="E1511" s="688"/>
      <c r="F1511" s="662"/>
      <c r="G1511" s="662"/>
      <c r="H1511" s="663"/>
      <c r="I1511" s="663"/>
      <c r="J1511" s="273"/>
      <c r="K1511" s="154" t="e">
        <f>VLOOKUP(A1511,#REF!,1,0)</f>
        <v>#REF!</v>
      </c>
      <c r="M1511" s="697" t="s">
        <v>517</v>
      </c>
    </row>
    <row r="1512" spans="1:13" outlineLevel="1">
      <c r="B1512" s="664"/>
      <c r="C1512" s="667"/>
      <c r="D1512" s="668"/>
      <c r="E1512" s="688"/>
      <c r="F1512" s="662"/>
      <c r="G1512" s="660" t="s">
        <v>159</v>
      </c>
      <c r="H1512" s="663"/>
      <c r="I1512" s="663">
        <f>I1511</f>
        <v>0</v>
      </c>
      <c r="J1512" s="273"/>
      <c r="K1512" s="154" t="e">
        <f>VLOOKUP(A1512,#REF!,1,0)</f>
        <v>#REF!</v>
      </c>
      <c r="M1512" s="697" t="s">
        <v>641</v>
      </c>
    </row>
    <row r="1513" spans="1:13" outlineLevel="1">
      <c r="B1513" s="662"/>
      <c r="C1513" s="669"/>
      <c r="D1513" s="670"/>
      <c r="E1513" s="688"/>
      <c r="F1513" s="662"/>
      <c r="G1513" s="662"/>
      <c r="H1513" s="663"/>
      <c r="I1513" s="663"/>
      <c r="J1513" s="273"/>
      <c r="K1513" s="154" t="e">
        <f>VLOOKUP(A1513,#REF!,1,0)</f>
        <v>#REF!</v>
      </c>
    </row>
    <row r="1514" spans="1:13" outlineLevel="1">
      <c r="B1514" s="659" t="s">
        <v>160</v>
      </c>
      <c r="C1514" s="660" t="s">
        <v>161</v>
      </c>
      <c r="D1514" s="661"/>
      <c r="E1514" s="673"/>
      <c r="F1514" s="663"/>
      <c r="G1514" s="663"/>
      <c r="H1514" s="663"/>
      <c r="I1514" s="666">
        <f>I1512+I1509+I1506</f>
        <v>270825</v>
      </c>
      <c r="J1514" s="273"/>
      <c r="K1514" s="154" t="e">
        <f>VLOOKUP(A1514,#REF!,1,0)</f>
        <v>#REF!</v>
      </c>
    </row>
    <row r="1515" spans="1:13" outlineLevel="1">
      <c r="B1515" s="659" t="s">
        <v>162</v>
      </c>
      <c r="C1515" s="660" t="s">
        <v>82</v>
      </c>
      <c r="D1515" s="661"/>
      <c r="E1515" s="752"/>
      <c r="F1515" s="671"/>
      <c r="G1515" s="672">
        <f>$J$3</f>
        <v>0.15</v>
      </c>
      <c r="H1515" s="673"/>
      <c r="I1515" s="674">
        <f>I1514*G1515</f>
        <v>40623.75</v>
      </c>
      <c r="J1515" s="273"/>
      <c r="K1515" s="154" t="e">
        <f>VLOOKUP(A1515,#REF!,1,0)</f>
        <v>#REF!</v>
      </c>
    </row>
    <row r="1516" spans="1:13" outlineLevel="1">
      <c r="B1516" s="659" t="s">
        <v>163</v>
      </c>
      <c r="C1516" s="660" t="s">
        <v>164</v>
      </c>
      <c r="D1516" s="661"/>
      <c r="E1516" s="673"/>
      <c r="F1516" s="663"/>
      <c r="G1516" s="663"/>
      <c r="H1516" s="663"/>
      <c r="I1516" s="666">
        <f>I1515+I1514</f>
        <v>311448.75</v>
      </c>
      <c r="J1516" s="273"/>
      <c r="K1516" s="154" t="e">
        <f>VLOOKUP(A1516,#REF!,1,0)</f>
        <v>#REF!</v>
      </c>
    </row>
    <row r="1517" spans="1:13" outlineLevel="1">
      <c r="B1517" s="184"/>
      <c r="D1517" s="186"/>
      <c r="E1517" s="186"/>
      <c r="F1517" s="280"/>
      <c r="G1517" s="280"/>
      <c r="H1517" s="280"/>
      <c r="I1517" s="331"/>
      <c r="J1517" s="273"/>
      <c r="K1517" s="154" t="e">
        <f>VLOOKUP(A1517,#REF!,1,0)</f>
        <v>#REF!</v>
      </c>
    </row>
    <row r="1518" spans="1:13">
      <c r="A1518" s="167" t="str">
        <f>B1518</f>
        <v>A.5.1.1.19.</v>
      </c>
      <c r="B1518" s="287" t="s">
        <v>753</v>
      </c>
      <c r="D1518" s="167" t="s">
        <v>754</v>
      </c>
      <c r="J1518" s="273">
        <f>I1536</f>
        <v>141881.25</v>
      </c>
      <c r="K1518" s="154" t="e">
        <f>VLOOKUP(A1518,#REF!,1,0)</f>
        <v>#REF!</v>
      </c>
    </row>
    <row r="1519" spans="1:13" ht="31.2" outlineLevel="1">
      <c r="A1519" s="163"/>
      <c r="B1519" s="658" t="s">
        <v>75</v>
      </c>
      <c r="C1519" s="1249" t="s">
        <v>140</v>
      </c>
      <c r="D1519" s="1250"/>
      <c r="E1519" s="658" t="s">
        <v>141</v>
      </c>
      <c r="F1519" s="658" t="s">
        <v>142</v>
      </c>
      <c r="G1519" s="658" t="s">
        <v>143</v>
      </c>
      <c r="H1519" s="659" t="s">
        <v>144</v>
      </c>
      <c r="I1519" s="659" t="s">
        <v>145</v>
      </c>
      <c r="J1519" s="625"/>
      <c r="K1519" s="154" t="e">
        <f>VLOOKUP(A1519,#REF!,1,0)</f>
        <v>#REF!</v>
      </c>
    </row>
    <row r="1520" spans="1:13" outlineLevel="1">
      <c r="B1520" s="659" t="s">
        <v>146</v>
      </c>
      <c r="C1520" s="660" t="s">
        <v>147</v>
      </c>
      <c r="D1520" s="661"/>
      <c r="E1520" s="688"/>
      <c r="F1520" s="662"/>
      <c r="G1520" s="662"/>
      <c r="H1520" s="663"/>
      <c r="I1520" s="663"/>
      <c r="J1520" s="273"/>
      <c r="K1520" s="154" t="e">
        <f>VLOOKUP(A1520,#REF!,1,0)</f>
        <v>#REF!</v>
      </c>
    </row>
    <row r="1521" spans="2:13" outlineLevel="1">
      <c r="B1521" s="659"/>
      <c r="C1521" s="660" t="s">
        <v>77</v>
      </c>
      <c r="D1521" s="661"/>
      <c r="E1521" s="659" t="s">
        <v>148</v>
      </c>
      <c r="F1521" s="664" t="s">
        <v>76</v>
      </c>
      <c r="G1521" s="664">
        <v>0.01</v>
      </c>
      <c r="H1521" s="174">
        <f>VLOOKUP(C1521,'UPAH-BAHAN'!D:F,2,0)</f>
        <v>120000</v>
      </c>
      <c r="I1521" s="631">
        <f t="shared" ref="I1521:I1524" si="25">H1521*G1521</f>
        <v>1200</v>
      </c>
      <c r="J1521" s="273"/>
      <c r="K1521" s="154" t="e">
        <f>VLOOKUP(A1521,#REF!,1,0)</f>
        <v>#REF!</v>
      </c>
      <c r="L1521" s="756" t="s">
        <v>745</v>
      </c>
      <c r="M1521" s="154">
        <v>0.01</v>
      </c>
    </row>
    <row r="1522" spans="2:13" outlineLevel="1">
      <c r="B1522" s="659"/>
      <c r="C1522" s="660" t="s">
        <v>86</v>
      </c>
      <c r="D1522" s="661"/>
      <c r="E1522" s="659" t="s">
        <v>149</v>
      </c>
      <c r="F1522" s="664" t="s">
        <v>76</v>
      </c>
      <c r="G1522" s="664">
        <v>0.4</v>
      </c>
      <c r="H1522" s="174">
        <f>VLOOKUP(C1522,'UPAH-BAHAN'!D:F,2,0)</f>
        <v>160000</v>
      </c>
      <c r="I1522" s="631">
        <f t="shared" si="25"/>
        <v>64000</v>
      </c>
      <c r="J1522" s="273"/>
      <c r="K1522" s="154" t="e">
        <f>VLOOKUP(A1522,#REF!,1,0)</f>
        <v>#REF!</v>
      </c>
      <c r="L1522" s="756" t="s">
        <v>746</v>
      </c>
      <c r="M1522" s="154">
        <v>0.4</v>
      </c>
    </row>
    <row r="1523" spans="2:13" outlineLevel="1">
      <c r="B1523" s="659"/>
      <c r="C1523" s="660" t="s">
        <v>99</v>
      </c>
      <c r="D1523" s="661"/>
      <c r="E1523" s="659" t="s">
        <v>150</v>
      </c>
      <c r="F1523" s="664" t="s">
        <v>76</v>
      </c>
      <c r="G1523" s="664">
        <v>0.04</v>
      </c>
      <c r="H1523" s="174">
        <f>VLOOKUP(C1523,'UPAH-BAHAN'!D:F,2,0)</f>
        <v>170000</v>
      </c>
      <c r="I1523" s="631">
        <f t="shared" si="25"/>
        <v>6800</v>
      </c>
      <c r="J1523" s="273"/>
      <c r="K1523" s="154" t="e">
        <f>VLOOKUP(A1523,#REF!,1,0)</f>
        <v>#REF!</v>
      </c>
      <c r="L1523" s="756" t="s">
        <v>747</v>
      </c>
      <c r="M1523" s="154">
        <v>0.04</v>
      </c>
    </row>
    <row r="1524" spans="2:13" outlineLevel="1">
      <c r="B1524" s="659"/>
      <c r="C1524" s="660" t="s">
        <v>80</v>
      </c>
      <c r="D1524" s="661"/>
      <c r="E1524" s="659" t="s">
        <v>151</v>
      </c>
      <c r="F1524" s="664" t="s">
        <v>76</v>
      </c>
      <c r="G1524" s="664">
        <v>5.0000000000000001E-3</v>
      </c>
      <c r="H1524" s="174">
        <f>VLOOKUP(C1524,'UPAH-BAHAN'!D:F,2,0)</f>
        <v>225000</v>
      </c>
      <c r="I1524" s="631">
        <f t="shared" si="25"/>
        <v>1125</v>
      </c>
      <c r="J1524" s="273"/>
      <c r="K1524" s="154" t="e">
        <f>VLOOKUP(A1524,#REF!,1,0)</f>
        <v>#REF!</v>
      </c>
      <c r="L1524" s="756" t="s">
        <v>748</v>
      </c>
      <c r="M1524" s="154">
        <v>5.0000000000000001E-3</v>
      </c>
    </row>
    <row r="1525" spans="2:13" outlineLevel="1">
      <c r="B1525" s="659"/>
      <c r="C1525" s="660"/>
      <c r="D1525" s="661"/>
      <c r="E1525" s="688"/>
      <c r="F1525" s="662"/>
      <c r="G1525" s="660" t="s">
        <v>171</v>
      </c>
      <c r="H1525" s="666"/>
      <c r="I1525" s="666">
        <f>SUM(I1521:I1524)</f>
        <v>73125</v>
      </c>
      <c r="J1525" s="273"/>
      <c r="K1525" s="154" t="e">
        <f>VLOOKUP(A1525,#REF!,1,0)</f>
        <v>#REF!</v>
      </c>
    </row>
    <row r="1526" spans="2:13" outlineLevel="1">
      <c r="B1526" s="659" t="s">
        <v>153</v>
      </c>
      <c r="C1526" s="660" t="s">
        <v>154</v>
      </c>
      <c r="D1526" s="661"/>
      <c r="E1526" s="688"/>
      <c r="F1526" s="662"/>
      <c r="G1526" s="662"/>
      <c r="H1526" s="666"/>
      <c r="I1526" s="666"/>
      <c r="J1526" s="273"/>
      <c r="K1526" s="154" t="e">
        <f>VLOOKUP(A1526,#REF!,1,0)</f>
        <v>#REF!</v>
      </c>
    </row>
    <row r="1527" spans="2:13" outlineLevel="1">
      <c r="B1527" s="659"/>
      <c r="C1527" s="730" t="s">
        <v>755</v>
      </c>
      <c r="D1527" s="661"/>
      <c r="E1527" s="688"/>
      <c r="F1527" s="664" t="s">
        <v>23</v>
      </c>
      <c r="G1527" s="664">
        <v>1</v>
      </c>
      <c r="H1527" s="174">
        <f>VLOOKUP(C1527,'UPAH-BAHAN'!D:F,2,0)</f>
        <v>50000</v>
      </c>
      <c r="I1527" s="631">
        <f t="shared" ref="I1527:I1528" si="26">H1527*G1527</f>
        <v>50000</v>
      </c>
      <c r="J1527" s="273"/>
      <c r="K1527" s="154" t="e">
        <f>VLOOKUP(A1527,#REF!,1,0)</f>
        <v>#REF!</v>
      </c>
    </row>
    <row r="1528" spans="2:13" outlineLevel="1">
      <c r="B1528" s="659"/>
      <c r="C1528" s="730" t="s">
        <v>756</v>
      </c>
      <c r="D1528" s="661"/>
      <c r="E1528" s="688"/>
      <c r="F1528" s="664" t="s">
        <v>23</v>
      </c>
      <c r="G1528" s="664">
        <v>2.5000000000000001E-2</v>
      </c>
      <c r="H1528" s="174">
        <f>VLOOKUP(C1528,'UPAH-BAHAN'!D:F,2,0)</f>
        <v>10000</v>
      </c>
      <c r="I1528" s="631">
        <f t="shared" si="26"/>
        <v>250</v>
      </c>
      <c r="J1528" s="273"/>
      <c r="K1528" s="154" t="e">
        <f>VLOOKUP(A1528,#REF!,1,0)</f>
        <v>#REF!</v>
      </c>
    </row>
    <row r="1529" spans="2:13" outlineLevel="1">
      <c r="B1529" s="659"/>
      <c r="C1529" s="660"/>
      <c r="D1529" s="661"/>
      <c r="E1529" s="688"/>
      <c r="F1529" s="662"/>
      <c r="G1529" s="660" t="s">
        <v>172</v>
      </c>
      <c r="H1529" s="666"/>
      <c r="I1529" s="666">
        <f>SUM(I1527:I1528)</f>
        <v>50250</v>
      </c>
      <c r="J1529" s="273"/>
      <c r="K1529" s="154" t="e">
        <f>VLOOKUP(A1529,#REF!,1,0)</f>
        <v>#REF!</v>
      </c>
    </row>
    <row r="1530" spans="2:13" outlineLevel="1">
      <c r="B1530" s="659" t="s">
        <v>157</v>
      </c>
      <c r="C1530" s="660" t="s">
        <v>158</v>
      </c>
      <c r="D1530" s="661"/>
      <c r="E1530" s="688"/>
      <c r="F1530" s="662"/>
      <c r="G1530" s="662"/>
      <c r="H1530" s="663"/>
      <c r="I1530" s="663"/>
      <c r="J1530" s="273"/>
      <c r="K1530" s="154" t="e">
        <f>VLOOKUP(A1530,#REF!,1,0)</f>
        <v>#REF!</v>
      </c>
    </row>
    <row r="1531" spans="2:13" outlineLevel="1">
      <c r="B1531" s="659"/>
      <c r="C1531" s="660"/>
      <c r="D1531" s="661"/>
      <c r="E1531" s="688"/>
      <c r="F1531" s="662"/>
      <c r="G1531" s="662"/>
      <c r="H1531" s="663"/>
      <c r="I1531" s="663"/>
      <c r="J1531" s="273"/>
      <c r="K1531" s="154" t="e">
        <f>VLOOKUP(A1531,#REF!,1,0)</f>
        <v>#REF!</v>
      </c>
    </row>
    <row r="1532" spans="2:13" outlineLevel="1">
      <c r="B1532" s="664"/>
      <c r="C1532" s="667"/>
      <c r="D1532" s="668"/>
      <c r="E1532" s="688"/>
      <c r="F1532" s="662"/>
      <c r="G1532" s="660" t="s">
        <v>159</v>
      </c>
      <c r="H1532" s="663"/>
      <c r="I1532" s="663">
        <f>I1531</f>
        <v>0</v>
      </c>
      <c r="J1532" s="273"/>
      <c r="K1532" s="154" t="e">
        <f>VLOOKUP(A1532,#REF!,1,0)</f>
        <v>#REF!</v>
      </c>
    </row>
    <row r="1533" spans="2:13" outlineLevel="1">
      <c r="B1533" s="662"/>
      <c r="C1533" s="669"/>
      <c r="D1533" s="670"/>
      <c r="E1533" s="688"/>
      <c r="F1533" s="662"/>
      <c r="G1533" s="662"/>
      <c r="H1533" s="663"/>
      <c r="I1533" s="663"/>
      <c r="J1533" s="273"/>
      <c r="K1533" s="154" t="e">
        <f>VLOOKUP(A1533,#REF!,1,0)</f>
        <v>#REF!</v>
      </c>
    </row>
    <row r="1534" spans="2:13" outlineLevel="1">
      <c r="B1534" s="659" t="s">
        <v>160</v>
      </c>
      <c r="C1534" s="660" t="s">
        <v>161</v>
      </c>
      <c r="D1534" s="661"/>
      <c r="E1534" s="673"/>
      <c r="F1534" s="663"/>
      <c r="G1534" s="663"/>
      <c r="H1534" s="663"/>
      <c r="I1534" s="666">
        <f>I1532+I1529+I1525</f>
        <v>123375</v>
      </c>
      <c r="J1534" s="273"/>
      <c r="K1534" s="154" t="e">
        <f>VLOOKUP(A1534,#REF!,1,0)</f>
        <v>#REF!</v>
      </c>
    </row>
    <row r="1535" spans="2:13" outlineLevel="1">
      <c r="B1535" s="659" t="s">
        <v>162</v>
      </c>
      <c r="C1535" s="660" t="s">
        <v>82</v>
      </c>
      <c r="D1535" s="661"/>
      <c r="E1535" s="752"/>
      <c r="F1535" s="671"/>
      <c r="G1535" s="672">
        <f>$J$3</f>
        <v>0.15</v>
      </c>
      <c r="H1535" s="673"/>
      <c r="I1535" s="674">
        <f>I1534*G1535</f>
        <v>18506.25</v>
      </c>
      <c r="J1535" s="273"/>
      <c r="K1535" s="154" t="e">
        <f>VLOOKUP(A1535,#REF!,1,0)</f>
        <v>#REF!</v>
      </c>
    </row>
    <row r="1536" spans="2:13" outlineLevel="1">
      <c r="B1536" s="659" t="s">
        <v>163</v>
      </c>
      <c r="C1536" s="660" t="s">
        <v>164</v>
      </c>
      <c r="D1536" s="661"/>
      <c r="E1536" s="673"/>
      <c r="F1536" s="663"/>
      <c r="G1536" s="663"/>
      <c r="H1536" s="663"/>
      <c r="I1536" s="666">
        <f>I1535+I1534</f>
        <v>141881.25</v>
      </c>
      <c r="J1536" s="273"/>
      <c r="K1536" s="154" t="e">
        <f>VLOOKUP(A1536,#REF!,1,0)</f>
        <v>#REF!</v>
      </c>
    </row>
    <row r="1537" spans="1:13" outlineLevel="1">
      <c r="B1537" s="184"/>
      <c r="D1537" s="186"/>
      <c r="E1537" s="186"/>
      <c r="F1537" s="280"/>
      <c r="G1537" s="280"/>
      <c r="H1537" s="280"/>
      <c r="I1537" s="331"/>
      <c r="J1537" s="273"/>
      <c r="K1537" s="154" t="e">
        <f>VLOOKUP(A1537,#REF!,1,0)</f>
        <v>#REF!</v>
      </c>
    </row>
    <row r="1538" spans="1:13">
      <c r="A1538" s="167" t="str">
        <f>B1538</f>
        <v>Hit. SAN. 01</v>
      </c>
      <c r="B1538" s="287" t="s">
        <v>771</v>
      </c>
      <c r="D1538" s="167" t="s">
        <v>773</v>
      </c>
      <c r="J1538" s="273">
        <f>I1556</f>
        <v>268093.75</v>
      </c>
      <c r="K1538" s="154" t="e">
        <f>VLOOKUP(A1538,#REF!,1,0)</f>
        <v>#REF!</v>
      </c>
    </row>
    <row r="1539" spans="1:13" ht="31.2" outlineLevel="1">
      <c r="A1539" s="163"/>
      <c r="B1539" s="658" t="s">
        <v>75</v>
      </c>
      <c r="C1539" s="1249" t="s">
        <v>140</v>
      </c>
      <c r="D1539" s="1250"/>
      <c r="E1539" s="658" t="s">
        <v>141</v>
      </c>
      <c r="F1539" s="658" t="s">
        <v>142</v>
      </c>
      <c r="G1539" s="658" t="s">
        <v>143</v>
      </c>
      <c r="H1539" s="659" t="s">
        <v>144</v>
      </c>
      <c r="I1539" s="659" t="s">
        <v>145</v>
      </c>
      <c r="J1539" s="625"/>
      <c r="K1539" s="154" t="e">
        <f>VLOOKUP(A1539,#REF!,1,0)</f>
        <v>#REF!</v>
      </c>
    </row>
    <row r="1540" spans="1:13" outlineLevel="1">
      <c r="B1540" s="659" t="s">
        <v>146</v>
      </c>
      <c r="C1540" s="660" t="s">
        <v>147</v>
      </c>
      <c r="D1540" s="661"/>
      <c r="E1540" s="688"/>
      <c r="F1540" s="662"/>
      <c r="G1540" s="662"/>
      <c r="H1540" s="663"/>
      <c r="I1540" s="663"/>
      <c r="J1540" s="273"/>
      <c r="K1540" s="154" t="e">
        <f>VLOOKUP(A1540,#REF!,1,0)</f>
        <v>#REF!</v>
      </c>
    </row>
    <row r="1541" spans="1:13" outlineLevel="1">
      <c r="B1541" s="659"/>
      <c r="C1541" s="660" t="s">
        <v>77</v>
      </c>
      <c r="D1541" s="661"/>
      <c r="E1541" s="659" t="s">
        <v>148</v>
      </c>
      <c r="F1541" s="664" t="s">
        <v>76</v>
      </c>
      <c r="G1541" s="664">
        <v>0.01</v>
      </c>
      <c r="H1541" s="174">
        <f>VLOOKUP(C1541,'UPAH-BAHAN'!D:F,2,0)</f>
        <v>120000</v>
      </c>
      <c r="I1541" s="631">
        <f t="shared" ref="I1541:I1544" si="27">H1541*G1541</f>
        <v>1200</v>
      </c>
      <c r="J1541" s="273"/>
      <c r="K1541" s="154" t="e">
        <f>VLOOKUP(A1541,#REF!,1,0)</f>
        <v>#REF!</v>
      </c>
      <c r="L1541" s="756" t="s">
        <v>745</v>
      </c>
      <c r="M1541" s="154">
        <v>0.01</v>
      </c>
    </row>
    <row r="1542" spans="1:13" outlineLevel="1">
      <c r="B1542" s="659"/>
      <c r="C1542" s="660" t="s">
        <v>86</v>
      </c>
      <c r="D1542" s="661"/>
      <c r="E1542" s="659" t="s">
        <v>149</v>
      </c>
      <c r="F1542" s="664" t="s">
        <v>76</v>
      </c>
      <c r="G1542" s="664">
        <v>0.4</v>
      </c>
      <c r="H1542" s="174">
        <f>VLOOKUP(C1542,'UPAH-BAHAN'!D:F,2,0)</f>
        <v>160000</v>
      </c>
      <c r="I1542" s="631">
        <f t="shared" si="27"/>
        <v>64000</v>
      </c>
      <c r="J1542" s="273"/>
      <c r="K1542" s="154" t="e">
        <f>VLOOKUP(A1542,#REF!,1,0)</f>
        <v>#REF!</v>
      </c>
      <c r="L1542" s="756" t="s">
        <v>746</v>
      </c>
      <c r="M1542" s="154">
        <v>0.4</v>
      </c>
    </row>
    <row r="1543" spans="1:13" outlineLevel="1">
      <c r="B1543" s="659"/>
      <c r="C1543" s="660" t="s">
        <v>99</v>
      </c>
      <c r="D1543" s="661"/>
      <c r="E1543" s="659" t="s">
        <v>150</v>
      </c>
      <c r="F1543" s="664" t="s">
        <v>76</v>
      </c>
      <c r="G1543" s="664">
        <v>0.04</v>
      </c>
      <c r="H1543" s="174">
        <f>VLOOKUP(C1543,'UPAH-BAHAN'!D:F,2,0)</f>
        <v>170000</v>
      </c>
      <c r="I1543" s="631">
        <f t="shared" si="27"/>
        <v>6800</v>
      </c>
      <c r="J1543" s="273"/>
      <c r="K1543" s="154" t="e">
        <f>VLOOKUP(A1543,#REF!,1,0)</f>
        <v>#REF!</v>
      </c>
      <c r="L1543" s="756" t="s">
        <v>747</v>
      </c>
      <c r="M1543" s="154">
        <v>0.04</v>
      </c>
    </row>
    <row r="1544" spans="1:13" outlineLevel="1">
      <c r="B1544" s="659"/>
      <c r="C1544" s="660" t="s">
        <v>80</v>
      </c>
      <c r="D1544" s="661"/>
      <c r="E1544" s="659" t="s">
        <v>151</v>
      </c>
      <c r="F1544" s="664" t="s">
        <v>76</v>
      </c>
      <c r="G1544" s="664">
        <v>5.0000000000000001E-3</v>
      </c>
      <c r="H1544" s="174">
        <f>VLOOKUP(C1544,'UPAH-BAHAN'!D:F,2,0)</f>
        <v>225000</v>
      </c>
      <c r="I1544" s="631">
        <f t="shared" si="27"/>
        <v>1125</v>
      </c>
      <c r="J1544" s="273"/>
      <c r="K1544" s="154" t="e">
        <f>VLOOKUP(A1544,#REF!,1,0)</f>
        <v>#REF!</v>
      </c>
      <c r="L1544" s="756" t="s">
        <v>748</v>
      </c>
      <c r="M1544" s="154">
        <v>5.0000000000000001E-3</v>
      </c>
    </row>
    <row r="1545" spans="1:13" outlineLevel="1">
      <c r="B1545" s="659"/>
      <c r="C1545" s="660"/>
      <c r="D1545" s="661"/>
      <c r="E1545" s="688"/>
      <c r="F1545" s="662"/>
      <c r="G1545" s="660" t="s">
        <v>171</v>
      </c>
      <c r="H1545" s="666"/>
      <c r="I1545" s="666">
        <f>SUM(I1541:I1544)</f>
        <v>73125</v>
      </c>
      <c r="J1545" s="273"/>
      <c r="K1545" s="154" t="e">
        <f>VLOOKUP(A1545,#REF!,1,0)</f>
        <v>#REF!</v>
      </c>
    </row>
    <row r="1546" spans="1:13" outlineLevel="1">
      <c r="B1546" s="659" t="s">
        <v>153</v>
      </c>
      <c r="C1546" s="660" t="s">
        <v>154</v>
      </c>
      <c r="D1546" s="661"/>
      <c r="E1546" s="688"/>
      <c r="F1546" s="662"/>
      <c r="G1546" s="662"/>
      <c r="H1546" s="666"/>
      <c r="I1546" s="666"/>
      <c r="J1546" s="273"/>
      <c r="K1546" s="154" t="e">
        <f>VLOOKUP(A1546,#REF!,1,0)</f>
        <v>#REF!</v>
      </c>
    </row>
    <row r="1547" spans="1:13" outlineLevel="1">
      <c r="B1547" s="659"/>
      <c r="C1547" s="730" t="s">
        <v>776</v>
      </c>
      <c r="D1547" s="661"/>
      <c r="E1547" s="688"/>
      <c r="F1547" s="664" t="s">
        <v>23</v>
      </c>
      <c r="G1547" s="664">
        <v>1</v>
      </c>
      <c r="H1547" s="174">
        <f>VLOOKUP(C1547,'UPAH-BAHAN'!D:F,2,0)</f>
        <v>150000</v>
      </c>
      <c r="I1547" s="631">
        <f t="shared" ref="I1547:I1548" si="28">H1547*G1547</f>
        <v>150000</v>
      </c>
      <c r="J1547" s="273"/>
      <c r="K1547" s="154" t="e">
        <f>VLOOKUP(A1547,#REF!,1,0)</f>
        <v>#REF!</v>
      </c>
    </row>
    <row r="1548" spans="1:13" outlineLevel="1">
      <c r="B1548" s="659"/>
      <c r="C1548" s="730" t="s">
        <v>756</v>
      </c>
      <c r="D1548" s="661"/>
      <c r="E1548" s="688"/>
      <c r="F1548" s="664" t="s">
        <v>23</v>
      </c>
      <c r="G1548" s="664">
        <v>1</v>
      </c>
      <c r="H1548" s="174">
        <f>VLOOKUP(C1548,'UPAH-BAHAN'!D:F,2,0)</f>
        <v>10000</v>
      </c>
      <c r="I1548" s="631">
        <f t="shared" si="28"/>
        <v>10000</v>
      </c>
      <c r="J1548" s="273"/>
      <c r="K1548" s="154" t="e">
        <f>VLOOKUP(A1548,#REF!,1,0)</f>
        <v>#REF!</v>
      </c>
    </row>
    <row r="1549" spans="1:13" outlineLevel="1">
      <c r="B1549" s="659"/>
      <c r="C1549" s="660"/>
      <c r="D1549" s="661"/>
      <c r="E1549" s="688"/>
      <c r="F1549" s="662"/>
      <c r="G1549" s="660" t="s">
        <v>172</v>
      </c>
      <c r="H1549" s="666"/>
      <c r="I1549" s="666">
        <f>SUM(I1547:I1548)</f>
        <v>160000</v>
      </c>
      <c r="J1549" s="273"/>
      <c r="K1549" s="154" t="e">
        <f>VLOOKUP(A1549,#REF!,1,0)</f>
        <v>#REF!</v>
      </c>
    </row>
    <row r="1550" spans="1:13" outlineLevel="1">
      <c r="B1550" s="659" t="s">
        <v>157</v>
      </c>
      <c r="C1550" s="660" t="s">
        <v>158</v>
      </c>
      <c r="D1550" s="661"/>
      <c r="E1550" s="688"/>
      <c r="F1550" s="662"/>
      <c r="G1550" s="662"/>
      <c r="H1550" s="663"/>
      <c r="I1550" s="663"/>
      <c r="J1550" s="273"/>
      <c r="K1550" s="154" t="e">
        <f>VLOOKUP(A1550,#REF!,1,0)</f>
        <v>#REF!</v>
      </c>
    </row>
    <row r="1551" spans="1:13" outlineLevel="1">
      <c r="B1551" s="659"/>
      <c r="C1551" s="660"/>
      <c r="D1551" s="661"/>
      <c r="E1551" s="688"/>
      <c r="F1551" s="662"/>
      <c r="G1551" s="662"/>
      <c r="H1551" s="663"/>
      <c r="I1551" s="663"/>
      <c r="J1551" s="273"/>
      <c r="K1551" s="154" t="e">
        <f>VLOOKUP(A1551,#REF!,1,0)</f>
        <v>#REF!</v>
      </c>
    </row>
    <row r="1552" spans="1:13" outlineLevel="1">
      <c r="B1552" s="664"/>
      <c r="C1552" s="667"/>
      <c r="D1552" s="668"/>
      <c r="E1552" s="688"/>
      <c r="F1552" s="662"/>
      <c r="G1552" s="660" t="s">
        <v>159</v>
      </c>
      <c r="H1552" s="663"/>
      <c r="I1552" s="663">
        <f>I1551</f>
        <v>0</v>
      </c>
      <c r="J1552" s="273"/>
      <c r="K1552" s="154" t="e">
        <f>VLOOKUP(A1552,#REF!,1,0)</f>
        <v>#REF!</v>
      </c>
    </row>
    <row r="1553" spans="1:13" outlineLevel="1">
      <c r="B1553" s="662"/>
      <c r="C1553" s="669"/>
      <c r="D1553" s="670"/>
      <c r="E1553" s="688"/>
      <c r="F1553" s="662"/>
      <c r="G1553" s="662"/>
      <c r="H1553" s="663"/>
      <c r="I1553" s="663"/>
      <c r="J1553" s="273"/>
      <c r="K1553" s="154" t="e">
        <f>VLOOKUP(A1553,#REF!,1,0)</f>
        <v>#REF!</v>
      </c>
    </row>
    <row r="1554" spans="1:13" outlineLevel="1">
      <c r="B1554" s="659" t="s">
        <v>160</v>
      </c>
      <c r="C1554" s="660" t="s">
        <v>161</v>
      </c>
      <c r="D1554" s="661"/>
      <c r="E1554" s="673"/>
      <c r="F1554" s="663"/>
      <c r="G1554" s="663"/>
      <c r="H1554" s="663"/>
      <c r="I1554" s="666">
        <f>I1552+I1549+I1545</f>
        <v>233125</v>
      </c>
      <c r="J1554" s="273"/>
      <c r="K1554" s="154" t="e">
        <f>VLOOKUP(A1554,#REF!,1,0)</f>
        <v>#REF!</v>
      </c>
    </row>
    <row r="1555" spans="1:13" outlineLevel="1">
      <c r="B1555" s="659" t="s">
        <v>162</v>
      </c>
      <c r="C1555" s="660" t="s">
        <v>82</v>
      </c>
      <c r="D1555" s="661"/>
      <c r="E1555" s="752"/>
      <c r="F1555" s="671"/>
      <c r="G1555" s="672">
        <f>$J$3</f>
        <v>0.15</v>
      </c>
      <c r="H1555" s="673"/>
      <c r="I1555" s="674">
        <f>I1554*G1555</f>
        <v>34968.75</v>
      </c>
      <c r="J1555" s="273"/>
      <c r="K1555" s="154" t="e">
        <f>VLOOKUP(A1555,#REF!,1,0)</f>
        <v>#REF!</v>
      </c>
    </row>
    <row r="1556" spans="1:13" outlineLevel="1">
      <c r="B1556" s="659" t="s">
        <v>163</v>
      </c>
      <c r="C1556" s="660" t="s">
        <v>164</v>
      </c>
      <c r="D1556" s="661"/>
      <c r="E1556" s="673"/>
      <c r="F1556" s="663"/>
      <c r="G1556" s="663"/>
      <c r="H1556" s="663"/>
      <c r="I1556" s="666">
        <f>I1555+I1554</f>
        <v>268093.75</v>
      </c>
      <c r="J1556" s="273"/>
      <c r="K1556" s="154" t="e">
        <f>VLOOKUP(A1556,#REF!,1,0)</f>
        <v>#REF!</v>
      </c>
    </row>
    <row r="1557" spans="1:13" outlineLevel="1">
      <c r="B1557" s="184"/>
      <c r="D1557" s="186"/>
      <c r="E1557" s="186"/>
      <c r="F1557" s="280"/>
      <c r="G1557" s="280"/>
      <c r="H1557" s="280"/>
      <c r="I1557" s="331"/>
      <c r="J1557" s="273"/>
      <c r="K1557" s="154" t="e">
        <f>VLOOKUP(A1557,#REF!,1,0)</f>
        <v>#REF!</v>
      </c>
    </row>
    <row r="1558" spans="1:13">
      <c r="A1558" s="167" t="str">
        <f>B1558</f>
        <v>Hit. SAN. 02</v>
      </c>
      <c r="B1558" s="287" t="s">
        <v>772</v>
      </c>
      <c r="D1558" s="167" t="s">
        <v>774</v>
      </c>
      <c r="J1558" s="273">
        <f>I1576</f>
        <v>900593.75</v>
      </c>
      <c r="K1558" s="154" t="e">
        <f>VLOOKUP(A1558,#REF!,1,0)</f>
        <v>#REF!</v>
      </c>
    </row>
    <row r="1559" spans="1:13" ht="31.2" outlineLevel="1">
      <c r="A1559" s="163"/>
      <c r="B1559" s="658" t="s">
        <v>75</v>
      </c>
      <c r="C1559" s="1249" t="s">
        <v>140</v>
      </c>
      <c r="D1559" s="1250"/>
      <c r="E1559" s="658" t="s">
        <v>141</v>
      </c>
      <c r="F1559" s="658" t="s">
        <v>142</v>
      </c>
      <c r="G1559" s="658" t="s">
        <v>143</v>
      </c>
      <c r="H1559" s="659" t="s">
        <v>144</v>
      </c>
      <c r="I1559" s="659" t="s">
        <v>145</v>
      </c>
      <c r="J1559" s="625"/>
      <c r="K1559" s="154" t="e">
        <f>VLOOKUP(A1559,#REF!,1,0)</f>
        <v>#REF!</v>
      </c>
    </row>
    <row r="1560" spans="1:13" outlineLevel="1">
      <c r="B1560" s="659" t="s">
        <v>146</v>
      </c>
      <c r="C1560" s="660" t="s">
        <v>147</v>
      </c>
      <c r="D1560" s="661"/>
      <c r="E1560" s="688"/>
      <c r="F1560" s="662"/>
      <c r="G1560" s="662"/>
      <c r="H1560" s="663"/>
      <c r="I1560" s="663"/>
      <c r="J1560" s="273"/>
      <c r="K1560" s="154" t="e">
        <f>VLOOKUP(A1560,#REF!,1,0)</f>
        <v>#REF!</v>
      </c>
    </row>
    <row r="1561" spans="1:13" outlineLevel="1">
      <c r="B1561" s="659"/>
      <c r="C1561" s="660" t="s">
        <v>77</v>
      </c>
      <c r="D1561" s="661"/>
      <c r="E1561" s="659" t="s">
        <v>148</v>
      </c>
      <c r="F1561" s="664" t="s">
        <v>76</v>
      </c>
      <c r="G1561" s="664">
        <v>0.01</v>
      </c>
      <c r="H1561" s="174">
        <f>VLOOKUP(C1561,'UPAH-BAHAN'!D:F,2,0)</f>
        <v>120000</v>
      </c>
      <c r="I1561" s="631">
        <f t="shared" ref="I1561:I1564" si="29">H1561*G1561</f>
        <v>1200</v>
      </c>
      <c r="J1561" s="273"/>
      <c r="K1561" s="154" t="e">
        <f>VLOOKUP(A1561,#REF!,1,0)</f>
        <v>#REF!</v>
      </c>
      <c r="L1561" s="756" t="s">
        <v>745</v>
      </c>
      <c r="M1561" s="154">
        <v>0.01</v>
      </c>
    </row>
    <row r="1562" spans="1:13" outlineLevel="1">
      <c r="B1562" s="659"/>
      <c r="C1562" s="660" t="s">
        <v>86</v>
      </c>
      <c r="D1562" s="661"/>
      <c r="E1562" s="659" t="s">
        <v>149</v>
      </c>
      <c r="F1562" s="664" t="s">
        <v>76</v>
      </c>
      <c r="G1562" s="664">
        <v>0.4</v>
      </c>
      <c r="H1562" s="174">
        <f>VLOOKUP(C1562,'UPAH-BAHAN'!D:F,2,0)</f>
        <v>160000</v>
      </c>
      <c r="I1562" s="631">
        <f t="shared" si="29"/>
        <v>64000</v>
      </c>
      <c r="J1562" s="273"/>
      <c r="K1562" s="154" t="e">
        <f>VLOOKUP(A1562,#REF!,1,0)</f>
        <v>#REF!</v>
      </c>
      <c r="L1562" s="756" t="s">
        <v>746</v>
      </c>
      <c r="M1562" s="154">
        <v>0.4</v>
      </c>
    </row>
    <row r="1563" spans="1:13" outlineLevel="1">
      <c r="B1563" s="659"/>
      <c r="C1563" s="660" t="s">
        <v>99</v>
      </c>
      <c r="D1563" s="661"/>
      <c r="E1563" s="659" t="s">
        <v>150</v>
      </c>
      <c r="F1563" s="664" t="s">
        <v>76</v>
      </c>
      <c r="G1563" s="664">
        <v>0.04</v>
      </c>
      <c r="H1563" s="174">
        <f>VLOOKUP(C1563,'UPAH-BAHAN'!D:F,2,0)</f>
        <v>170000</v>
      </c>
      <c r="I1563" s="631">
        <f t="shared" si="29"/>
        <v>6800</v>
      </c>
      <c r="J1563" s="273"/>
      <c r="K1563" s="154" t="e">
        <f>VLOOKUP(A1563,#REF!,1,0)</f>
        <v>#REF!</v>
      </c>
      <c r="L1563" s="756" t="s">
        <v>747</v>
      </c>
      <c r="M1563" s="154">
        <v>0.04</v>
      </c>
    </row>
    <row r="1564" spans="1:13" outlineLevel="1">
      <c r="B1564" s="659"/>
      <c r="C1564" s="660" t="s">
        <v>80</v>
      </c>
      <c r="D1564" s="661"/>
      <c r="E1564" s="659" t="s">
        <v>151</v>
      </c>
      <c r="F1564" s="664" t="s">
        <v>76</v>
      </c>
      <c r="G1564" s="664">
        <v>5.0000000000000001E-3</v>
      </c>
      <c r="H1564" s="174">
        <f>VLOOKUP(C1564,'UPAH-BAHAN'!D:F,2,0)</f>
        <v>225000</v>
      </c>
      <c r="I1564" s="631">
        <f t="shared" si="29"/>
        <v>1125</v>
      </c>
      <c r="J1564" s="273"/>
      <c r="K1564" s="154" t="e">
        <f>VLOOKUP(A1564,#REF!,1,0)</f>
        <v>#REF!</v>
      </c>
      <c r="L1564" s="756" t="s">
        <v>748</v>
      </c>
      <c r="M1564" s="154">
        <v>5.0000000000000001E-3</v>
      </c>
    </row>
    <row r="1565" spans="1:13" outlineLevel="1">
      <c r="B1565" s="659"/>
      <c r="C1565" s="660"/>
      <c r="D1565" s="661"/>
      <c r="E1565" s="688"/>
      <c r="F1565" s="662"/>
      <c r="G1565" s="660" t="s">
        <v>171</v>
      </c>
      <c r="H1565" s="666"/>
      <c r="I1565" s="666">
        <f>SUM(I1561:I1564)</f>
        <v>73125</v>
      </c>
      <c r="J1565" s="273"/>
      <c r="K1565" s="154" t="e">
        <f>VLOOKUP(A1565,#REF!,1,0)</f>
        <v>#REF!</v>
      </c>
    </row>
    <row r="1566" spans="1:13" outlineLevel="1">
      <c r="B1566" s="659" t="s">
        <v>153</v>
      </c>
      <c r="C1566" s="660" t="s">
        <v>154</v>
      </c>
      <c r="D1566" s="661"/>
      <c r="E1566" s="688"/>
      <c r="F1566" s="662"/>
      <c r="G1566" s="662"/>
      <c r="H1566" s="666"/>
      <c r="I1566" s="666"/>
      <c r="J1566" s="273"/>
      <c r="K1566" s="154" t="e">
        <f>VLOOKUP(A1566,#REF!,1,0)</f>
        <v>#REF!</v>
      </c>
    </row>
    <row r="1567" spans="1:13" outlineLevel="1">
      <c r="B1567" s="659"/>
      <c r="C1567" s="730" t="s">
        <v>775</v>
      </c>
      <c r="D1567" s="661"/>
      <c r="E1567" s="688"/>
      <c r="F1567" s="664" t="s">
        <v>23</v>
      </c>
      <c r="G1567" s="664">
        <v>1</v>
      </c>
      <c r="H1567" s="174">
        <f>VLOOKUP(C1567,'UPAH-BAHAN'!D:F,2,0)</f>
        <v>700000</v>
      </c>
      <c r="I1567" s="631">
        <f t="shared" ref="I1567:I1568" si="30">H1567*G1567</f>
        <v>700000</v>
      </c>
      <c r="J1567" s="273"/>
      <c r="K1567" s="154" t="e">
        <f>VLOOKUP(A1567,#REF!,1,0)</f>
        <v>#REF!</v>
      </c>
    </row>
    <row r="1568" spans="1:13" outlineLevel="1">
      <c r="B1568" s="659"/>
      <c r="C1568" s="730" t="s">
        <v>756</v>
      </c>
      <c r="D1568" s="661"/>
      <c r="E1568" s="688"/>
      <c r="F1568" s="664" t="s">
        <v>23</v>
      </c>
      <c r="G1568" s="664">
        <v>1</v>
      </c>
      <c r="H1568" s="174">
        <f>VLOOKUP(C1568,'UPAH-BAHAN'!D:F,2,0)</f>
        <v>10000</v>
      </c>
      <c r="I1568" s="631">
        <f t="shared" si="30"/>
        <v>10000</v>
      </c>
      <c r="J1568" s="273"/>
      <c r="K1568" s="154" t="e">
        <f>VLOOKUP(A1568,#REF!,1,0)</f>
        <v>#REF!</v>
      </c>
    </row>
    <row r="1569" spans="1:13" outlineLevel="1">
      <c r="B1569" s="659"/>
      <c r="C1569" s="660"/>
      <c r="D1569" s="661"/>
      <c r="E1569" s="688"/>
      <c r="F1569" s="662"/>
      <c r="G1569" s="660" t="s">
        <v>172</v>
      </c>
      <c r="H1569" s="666"/>
      <c r="I1569" s="666">
        <f>SUM(I1567:I1568)</f>
        <v>710000</v>
      </c>
      <c r="J1569" s="273"/>
      <c r="K1569" s="154" t="e">
        <f>VLOOKUP(A1569,#REF!,1,0)</f>
        <v>#REF!</v>
      </c>
    </row>
    <row r="1570" spans="1:13" outlineLevel="1">
      <c r="B1570" s="659" t="s">
        <v>157</v>
      </c>
      <c r="C1570" s="660" t="s">
        <v>158</v>
      </c>
      <c r="D1570" s="661"/>
      <c r="E1570" s="688"/>
      <c r="F1570" s="662"/>
      <c r="G1570" s="662"/>
      <c r="H1570" s="663"/>
      <c r="I1570" s="663"/>
      <c r="J1570" s="273"/>
      <c r="K1570" s="154" t="e">
        <f>VLOOKUP(A1570,#REF!,1,0)</f>
        <v>#REF!</v>
      </c>
    </row>
    <row r="1571" spans="1:13" outlineLevel="1">
      <c r="B1571" s="659"/>
      <c r="C1571" s="660"/>
      <c r="D1571" s="661"/>
      <c r="E1571" s="688"/>
      <c r="F1571" s="662"/>
      <c r="G1571" s="662"/>
      <c r="H1571" s="663"/>
      <c r="I1571" s="663"/>
      <c r="J1571" s="273"/>
      <c r="K1571" s="154" t="e">
        <f>VLOOKUP(A1571,#REF!,1,0)</f>
        <v>#REF!</v>
      </c>
    </row>
    <row r="1572" spans="1:13" outlineLevel="1">
      <c r="B1572" s="664"/>
      <c r="C1572" s="667"/>
      <c r="D1572" s="668"/>
      <c r="E1572" s="688"/>
      <c r="F1572" s="662"/>
      <c r="G1572" s="660" t="s">
        <v>159</v>
      </c>
      <c r="H1572" s="663"/>
      <c r="I1572" s="663">
        <f>I1571</f>
        <v>0</v>
      </c>
      <c r="J1572" s="273"/>
      <c r="K1572" s="154" t="e">
        <f>VLOOKUP(A1572,#REF!,1,0)</f>
        <v>#REF!</v>
      </c>
    </row>
    <row r="1573" spans="1:13" outlineLevel="1">
      <c r="B1573" s="662"/>
      <c r="C1573" s="669"/>
      <c r="D1573" s="670"/>
      <c r="E1573" s="688"/>
      <c r="F1573" s="662"/>
      <c r="G1573" s="662"/>
      <c r="H1573" s="663"/>
      <c r="I1573" s="663"/>
      <c r="J1573" s="273"/>
      <c r="K1573" s="154" t="e">
        <f>VLOOKUP(A1573,#REF!,1,0)</f>
        <v>#REF!</v>
      </c>
    </row>
    <row r="1574" spans="1:13" outlineLevel="1">
      <c r="B1574" s="659" t="s">
        <v>160</v>
      </c>
      <c r="C1574" s="660" t="s">
        <v>161</v>
      </c>
      <c r="D1574" s="661"/>
      <c r="E1574" s="673"/>
      <c r="F1574" s="663"/>
      <c r="G1574" s="663"/>
      <c r="H1574" s="663"/>
      <c r="I1574" s="666">
        <f>I1572+I1569+I1565</f>
        <v>783125</v>
      </c>
      <c r="J1574" s="273"/>
      <c r="K1574" s="154" t="e">
        <f>VLOOKUP(A1574,#REF!,1,0)</f>
        <v>#REF!</v>
      </c>
    </row>
    <row r="1575" spans="1:13" outlineLevel="1">
      <c r="B1575" s="659" t="s">
        <v>162</v>
      </c>
      <c r="C1575" s="660" t="s">
        <v>82</v>
      </c>
      <c r="D1575" s="661"/>
      <c r="E1575" s="752"/>
      <c r="F1575" s="671"/>
      <c r="G1575" s="672">
        <f>$J$3</f>
        <v>0.15</v>
      </c>
      <c r="H1575" s="673"/>
      <c r="I1575" s="674">
        <f>I1574*G1575</f>
        <v>117468.75</v>
      </c>
      <c r="J1575" s="273"/>
      <c r="K1575" s="154" t="e">
        <f>VLOOKUP(A1575,#REF!,1,0)</f>
        <v>#REF!</v>
      </c>
    </row>
    <row r="1576" spans="1:13" outlineLevel="1">
      <c r="B1576" s="659" t="s">
        <v>163</v>
      </c>
      <c r="C1576" s="660" t="s">
        <v>164</v>
      </c>
      <c r="D1576" s="661"/>
      <c r="E1576" s="673"/>
      <c r="F1576" s="663"/>
      <c r="G1576" s="663"/>
      <c r="H1576" s="663"/>
      <c r="I1576" s="666">
        <f>I1575+I1574</f>
        <v>900593.75</v>
      </c>
      <c r="J1576" s="273"/>
      <c r="K1576" s="154" t="e">
        <f>VLOOKUP(A1576,#REF!,1,0)</f>
        <v>#REF!</v>
      </c>
    </row>
    <row r="1577" spans="1:13" outlineLevel="1">
      <c r="B1577" s="184"/>
      <c r="D1577" s="186"/>
      <c r="E1577" s="186"/>
      <c r="F1577" s="280"/>
      <c r="G1577" s="280"/>
      <c r="H1577" s="280"/>
      <c r="I1577" s="331"/>
      <c r="J1577" s="273"/>
      <c r="K1577" s="154" t="e">
        <f>VLOOKUP(A1577,#REF!,1,0)</f>
        <v>#REF!</v>
      </c>
    </row>
    <row r="1578" spans="1:13">
      <c r="A1578" s="167" t="str">
        <f>B1578</f>
        <v>Hit. SAN. 03</v>
      </c>
      <c r="B1578" s="287" t="s">
        <v>779</v>
      </c>
      <c r="D1578" s="167" t="s">
        <v>843</v>
      </c>
      <c r="J1578" s="273">
        <f>I1596</f>
        <v>383093.75</v>
      </c>
      <c r="K1578" s="154" t="e">
        <f>VLOOKUP(A1578,#REF!,1,0)</f>
        <v>#REF!</v>
      </c>
    </row>
    <row r="1579" spans="1:13" ht="31.2" outlineLevel="1">
      <c r="A1579" s="163"/>
      <c r="B1579" s="658" t="s">
        <v>75</v>
      </c>
      <c r="C1579" s="1249" t="s">
        <v>140</v>
      </c>
      <c r="D1579" s="1250"/>
      <c r="E1579" s="658" t="s">
        <v>141</v>
      </c>
      <c r="F1579" s="658" t="s">
        <v>142</v>
      </c>
      <c r="G1579" s="658" t="s">
        <v>143</v>
      </c>
      <c r="H1579" s="659" t="s">
        <v>144</v>
      </c>
      <c r="I1579" s="659" t="s">
        <v>145</v>
      </c>
      <c r="J1579" s="625"/>
      <c r="K1579" s="154" t="e">
        <f>VLOOKUP(A1579,#REF!,1,0)</f>
        <v>#REF!</v>
      </c>
    </row>
    <row r="1580" spans="1:13" outlineLevel="1">
      <c r="B1580" s="659" t="s">
        <v>146</v>
      </c>
      <c r="C1580" s="660" t="s">
        <v>147</v>
      </c>
      <c r="D1580" s="661"/>
      <c r="E1580" s="688"/>
      <c r="F1580" s="662"/>
      <c r="G1580" s="662"/>
      <c r="H1580" s="663"/>
      <c r="I1580" s="663"/>
      <c r="J1580" s="273"/>
      <c r="K1580" s="154" t="e">
        <f>VLOOKUP(A1580,#REF!,1,0)</f>
        <v>#REF!</v>
      </c>
    </row>
    <row r="1581" spans="1:13" outlineLevel="1">
      <c r="B1581" s="659"/>
      <c r="C1581" s="660" t="s">
        <v>77</v>
      </c>
      <c r="D1581" s="661"/>
      <c r="E1581" s="659" t="s">
        <v>148</v>
      </c>
      <c r="F1581" s="664" t="s">
        <v>76</v>
      </c>
      <c r="G1581" s="664">
        <v>0.01</v>
      </c>
      <c r="H1581" s="174">
        <f>VLOOKUP(C1581,'UPAH-BAHAN'!D:F,2,0)</f>
        <v>120000</v>
      </c>
      <c r="I1581" s="631">
        <f t="shared" ref="I1581:I1584" si="31">H1581*G1581</f>
        <v>1200</v>
      </c>
      <c r="J1581" s="273"/>
      <c r="K1581" s="154" t="e">
        <f>VLOOKUP(A1581,#REF!,1,0)</f>
        <v>#REF!</v>
      </c>
      <c r="L1581" s="756" t="s">
        <v>745</v>
      </c>
      <c r="M1581" s="154">
        <v>0.01</v>
      </c>
    </row>
    <row r="1582" spans="1:13" outlineLevel="1">
      <c r="B1582" s="659"/>
      <c r="C1582" s="660" t="s">
        <v>86</v>
      </c>
      <c r="D1582" s="661"/>
      <c r="E1582" s="659" t="s">
        <v>149</v>
      </c>
      <c r="F1582" s="664" t="s">
        <v>76</v>
      </c>
      <c r="G1582" s="664">
        <v>0.4</v>
      </c>
      <c r="H1582" s="174">
        <f>VLOOKUP(C1582,'UPAH-BAHAN'!D:F,2,0)</f>
        <v>160000</v>
      </c>
      <c r="I1582" s="631">
        <f t="shared" si="31"/>
        <v>64000</v>
      </c>
      <c r="J1582" s="273"/>
      <c r="K1582" s="154" t="e">
        <f>VLOOKUP(A1582,#REF!,1,0)</f>
        <v>#REF!</v>
      </c>
      <c r="L1582" s="756" t="s">
        <v>746</v>
      </c>
      <c r="M1582" s="154">
        <v>0.4</v>
      </c>
    </row>
    <row r="1583" spans="1:13" outlineLevel="1">
      <c r="B1583" s="659"/>
      <c r="C1583" s="660" t="s">
        <v>99</v>
      </c>
      <c r="D1583" s="661"/>
      <c r="E1583" s="659" t="s">
        <v>150</v>
      </c>
      <c r="F1583" s="664" t="s">
        <v>76</v>
      </c>
      <c r="G1583" s="664">
        <v>0.04</v>
      </c>
      <c r="H1583" s="174">
        <f>VLOOKUP(C1583,'UPAH-BAHAN'!D:F,2,0)</f>
        <v>170000</v>
      </c>
      <c r="I1583" s="631">
        <f t="shared" si="31"/>
        <v>6800</v>
      </c>
      <c r="J1583" s="273"/>
      <c r="K1583" s="154" t="e">
        <f>VLOOKUP(A1583,#REF!,1,0)</f>
        <v>#REF!</v>
      </c>
      <c r="L1583" s="756" t="s">
        <v>747</v>
      </c>
      <c r="M1583" s="154">
        <v>0.04</v>
      </c>
    </row>
    <row r="1584" spans="1:13" outlineLevel="1">
      <c r="B1584" s="659"/>
      <c r="C1584" s="660" t="s">
        <v>80</v>
      </c>
      <c r="D1584" s="661"/>
      <c r="E1584" s="659" t="s">
        <v>151</v>
      </c>
      <c r="F1584" s="664" t="s">
        <v>76</v>
      </c>
      <c r="G1584" s="664">
        <v>5.0000000000000001E-3</v>
      </c>
      <c r="H1584" s="174">
        <f>VLOOKUP(C1584,'UPAH-BAHAN'!D:F,2,0)</f>
        <v>225000</v>
      </c>
      <c r="I1584" s="631">
        <f t="shared" si="31"/>
        <v>1125</v>
      </c>
      <c r="J1584" s="273"/>
      <c r="K1584" s="154" t="e">
        <f>VLOOKUP(A1584,#REF!,1,0)</f>
        <v>#REF!</v>
      </c>
      <c r="L1584" s="756" t="s">
        <v>748</v>
      </c>
      <c r="M1584" s="154">
        <v>5.0000000000000001E-3</v>
      </c>
    </row>
    <row r="1585" spans="1:11" outlineLevel="1">
      <c r="B1585" s="659"/>
      <c r="C1585" s="660"/>
      <c r="D1585" s="661"/>
      <c r="E1585" s="688"/>
      <c r="F1585" s="662"/>
      <c r="G1585" s="660" t="s">
        <v>171</v>
      </c>
      <c r="H1585" s="666"/>
      <c r="I1585" s="666">
        <f>SUM(I1581:I1584)</f>
        <v>73125</v>
      </c>
      <c r="J1585" s="273"/>
      <c r="K1585" s="154" t="e">
        <f>VLOOKUP(A1585,#REF!,1,0)</f>
        <v>#REF!</v>
      </c>
    </row>
    <row r="1586" spans="1:11" outlineLevel="1">
      <c r="B1586" s="659" t="s">
        <v>153</v>
      </c>
      <c r="C1586" s="660" t="s">
        <v>154</v>
      </c>
      <c r="D1586" s="661"/>
      <c r="E1586" s="688"/>
      <c r="F1586" s="662"/>
      <c r="G1586" s="662"/>
      <c r="H1586" s="666"/>
      <c r="I1586" s="666"/>
      <c r="J1586" s="273"/>
      <c r="K1586" s="154" t="e">
        <f>VLOOKUP(A1586,#REF!,1,0)</f>
        <v>#REF!</v>
      </c>
    </row>
    <row r="1587" spans="1:11" outlineLevel="1">
      <c r="B1587" s="659"/>
      <c r="C1587" s="730" t="s">
        <v>757</v>
      </c>
      <c r="D1587" s="661"/>
      <c r="E1587" s="688"/>
      <c r="F1587" s="664" t="s">
        <v>23</v>
      </c>
      <c r="G1587" s="664">
        <v>1</v>
      </c>
      <c r="H1587" s="174">
        <f>VLOOKUP(C1587,'UPAH-BAHAN'!D:F,2,0)</f>
        <v>250000</v>
      </c>
      <c r="I1587" s="631">
        <f t="shared" ref="I1587:I1588" si="32">H1587*G1587</f>
        <v>250000</v>
      </c>
      <c r="J1587" s="273"/>
      <c r="K1587" s="154" t="e">
        <f>VLOOKUP(A1587,#REF!,1,0)</f>
        <v>#REF!</v>
      </c>
    </row>
    <row r="1588" spans="1:11" outlineLevel="1">
      <c r="B1588" s="659"/>
      <c r="C1588" s="730" t="s">
        <v>756</v>
      </c>
      <c r="D1588" s="661"/>
      <c r="E1588" s="688"/>
      <c r="F1588" s="664" t="s">
        <v>23</v>
      </c>
      <c r="G1588" s="664">
        <v>1</v>
      </c>
      <c r="H1588" s="174">
        <f>VLOOKUP(C1588,'UPAH-BAHAN'!D:F,2,0)</f>
        <v>10000</v>
      </c>
      <c r="I1588" s="631">
        <f t="shared" si="32"/>
        <v>10000</v>
      </c>
      <c r="J1588" s="273"/>
      <c r="K1588" s="154" t="e">
        <f>VLOOKUP(A1588,#REF!,1,0)</f>
        <v>#REF!</v>
      </c>
    </row>
    <row r="1589" spans="1:11" outlineLevel="1">
      <c r="B1589" s="659"/>
      <c r="C1589" s="660"/>
      <c r="D1589" s="661"/>
      <c r="E1589" s="688"/>
      <c r="F1589" s="662"/>
      <c r="G1589" s="660" t="s">
        <v>172</v>
      </c>
      <c r="H1589" s="666"/>
      <c r="I1589" s="666">
        <f>SUM(I1587:I1588)</f>
        <v>260000</v>
      </c>
      <c r="J1589" s="273"/>
      <c r="K1589" s="154" t="e">
        <f>VLOOKUP(A1589,#REF!,1,0)</f>
        <v>#REF!</v>
      </c>
    </row>
    <row r="1590" spans="1:11" outlineLevel="1">
      <c r="B1590" s="659" t="s">
        <v>157</v>
      </c>
      <c r="C1590" s="660" t="s">
        <v>158</v>
      </c>
      <c r="D1590" s="661"/>
      <c r="E1590" s="688"/>
      <c r="F1590" s="662"/>
      <c r="G1590" s="662"/>
      <c r="H1590" s="663"/>
      <c r="I1590" s="663"/>
      <c r="J1590" s="273"/>
      <c r="K1590" s="154" t="e">
        <f>VLOOKUP(A1590,#REF!,1,0)</f>
        <v>#REF!</v>
      </c>
    </row>
    <row r="1591" spans="1:11" outlineLevel="1">
      <c r="B1591" s="659"/>
      <c r="C1591" s="660"/>
      <c r="D1591" s="661"/>
      <c r="E1591" s="688"/>
      <c r="F1591" s="662"/>
      <c r="G1591" s="662"/>
      <c r="H1591" s="663"/>
      <c r="I1591" s="663"/>
      <c r="J1591" s="273"/>
      <c r="K1591" s="154" t="e">
        <f>VLOOKUP(A1591,#REF!,1,0)</f>
        <v>#REF!</v>
      </c>
    </row>
    <row r="1592" spans="1:11" outlineLevel="1">
      <c r="B1592" s="664"/>
      <c r="C1592" s="667"/>
      <c r="D1592" s="668"/>
      <c r="E1592" s="688"/>
      <c r="F1592" s="662"/>
      <c r="G1592" s="660" t="s">
        <v>159</v>
      </c>
      <c r="H1592" s="663"/>
      <c r="I1592" s="663">
        <f>I1591</f>
        <v>0</v>
      </c>
      <c r="J1592" s="273"/>
      <c r="K1592" s="154" t="e">
        <f>VLOOKUP(A1592,#REF!,1,0)</f>
        <v>#REF!</v>
      </c>
    </row>
    <row r="1593" spans="1:11" outlineLevel="1">
      <c r="B1593" s="662"/>
      <c r="C1593" s="669"/>
      <c r="D1593" s="670"/>
      <c r="E1593" s="688"/>
      <c r="F1593" s="662"/>
      <c r="G1593" s="662"/>
      <c r="H1593" s="663"/>
      <c r="I1593" s="663"/>
      <c r="J1593" s="273"/>
      <c r="K1593" s="154" t="e">
        <f>VLOOKUP(A1593,#REF!,1,0)</f>
        <v>#REF!</v>
      </c>
    </row>
    <row r="1594" spans="1:11" outlineLevel="1">
      <c r="B1594" s="659" t="s">
        <v>160</v>
      </c>
      <c r="C1594" s="660" t="s">
        <v>161</v>
      </c>
      <c r="D1594" s="661"/>
      <c r="E1594" s="673"/>
      <c r="F1594" s="663"/>
      <c r="G1594" s="663"/>
      <c r="H1594" s="663"/>
      <c r="I1594" s="666">
        <f>I1592+I1589+I1585</f>
        <v>333125</v>
      </c>
      <c r="J1594" s="273"/>
      <c r="K1594" s="154" t="e">
        <f>VLOOKUP(A1594,#REF!,1,0)</f>
        <v>#REF!</v>
      </c>
    </row>
    <row r="1595" spans="1:11" outlineLevel="1">
      <c r="B1595" s="659" t="s">
        <v>162</v>
      </c>
      <c r="C1595" s="660" t="s">
        <v>82</v>
      </c>
      <c r="D1595" s="661"/>
      <c r="E1595" s="752"/>
      <c r="F1595" s="671"/>
      <c r="G1595" s="672">
        <f>$J$3</f>
        <v>0.15</v>
      </c>
      <c r="H1595" s="673"/>
      <c r="I1595" s="674">
        <f>I1594*G1595</f>
        <v>49968.75</v>
      </c>
      <c r="J1595" s="273"/>
      <c r="K1595" s="154" t="e">
        <f>VLOOKUP(A1595,#REF!,1,0)</f>
        <v>#REF!</v>
      </c>
    </row>
    <row r="1596" spans="1:11" outlineLevel="1">
      <c r="B1596" s="659" t="s">
        <v>163</v>
      </c>
      <c r="C1596" s="660" t="s">
        <v>164</v>
      </c>
      <c r="D1596" s="661"/>
      <c r="E1596" s="673"/>
      <c r="F1596" s="663"/>
      <c r="G1596" s="663"/>
      <c r="H1596" s="663"/>
      <c r="I1596" s="666">
        <f>I1595+I1594</f>
        <v>383093.75</v>
      </c>
      <c r="J1596" s="273"/>
      <c r="K1596" s="154" t="e">
        <f>VLOOKUP(A1596,#REF!,1,0)</f>
        <v>#REF!</v>
      </c>
    </row>
    <row r="1597" spans="1:11" outlineLevel="1">
      <c r="B1597" s="184"/>
      <c r="D1597" s="186"/>
      <c r="E1597" s="186"/>
      <c r="F1597" s="280"/>
      <c r="G1597" s="280"/>
      <c r="H1597" s="280"/>
      <c r="I1597" s="331"/>
      <c r="J1597" s="273"/>
      <c r="K1597" s="154" t="e">
        <f>VLOOKUP(A1597,#REF!,1,0)</f>
        <v>#REF!</v>
      </c>
    </row>
    <row r="1598" spans="1:11">
      <c r="A1598" s="167" t="str">
        <f>B1598</f>
        <v>Hit. SAN. 04</v>
      </c>
      <c r="B1598" s="287" t="s">
        <v>780</v>
      </c>
      <c r="D1598" s="167" t="s">
        <v>844</v>
      </c>
      <c r="J1598" s="273">
        <f>I1615</f>
        <v>256593.75</v>
      </c>
      <c r="K1598" s="154" t="e">
        <f>VLOOKUP(A1598,#REF!,1,0)</f>
        <v>#REF!</v>
      </c>
    </row>
    <row r="1599" spans="1:11" ht="31.2" outlineLevel="1">
      <c r="A1599" s="163"/>
      <c r="B1599" s="658" t="s">
        <v>75</v>
      </c>
      <c r="C1599" s="1249" t="s">
        <v>140</v>
      </c>
      <c r="D1599" s="1250"/>
      <c r="E1599" s="658" t="s">
        <v>141</v>
      </c>
      <c r="F1599" s="658" t="s">
        <v>142</v>
      </c>
      <c r="G1599" s="658" t="s">
        <v>143</v>
      </c>
      <c r="H1599" s="659" t="s">
        <v>144</v>
      </c>
      <c r="I1599" s="659" t="s">
        <v>145</v>
      </c>
      <c r="J1599" s="625"/>
      <c r="K1599" s="154" t="e">
        <f>VLOOKUP(A1599,#REF!,1,0)</f>
        <v>#REF!</v>
      </c>
    </row>
    <row r="1600" spans="1:11" outlineLevel="1">
      <c r="B1600" s="659" t="s">
        <v>146</v>
      </c>
      <c r="C1600" s="660" t="s">
        <v>147</v>
      </c>
      <c r="D1600" s="661"/>
      <c r="E1600" s="688"/>
      <c r="F1600" s="662"/>
      <c r="G1600" s="662"/>
      <c r="H1600" s="663"/>
      <c r="I1600" s="663"/>
      <c r="J1600" s="273"/>
      <c r="K1600" s="154" t="e">
        <f>VLOOKUP(A1600,#REF!,1,0)</f>
        <v>#REF!</v>
      </c>
    </row>
    <row r="1601" spans="2:13" outlineLevel="1">
      <c r="B1601" s="659"/>
      <c r="C1601" s="660" t="s">
        <v>77</v>
      </c>
      <c r="D1601" s="661"/>
      <c r="E1601" s="659" t="s">
        <v>148</v>
      </c>
      <c r="F1601" s="664" t="s">
        <v>76</v>
      </c>
      <c r="G1601" s="664">
        <v>0.01</v>
      </c>
      <c r="H1601" s="174">
        <f>VLOOKUP(C1601,'UPAH-BAHAN'!D:F,2,0)</f>
        <v>120000</v>
      </c>
      <c r="I1601" s="631">
        <f t="shared" ref="I1601:I1604" si="33">H1601*G1601</f>
        <v>1200</v>
      </c>
      <c r="J1601" s="273"/>
      <c r="K1601" s="154" t="e">
        <f>VLOOKUP(A1601,#REF!,1,0)</f>
        <v>#REF!</v>
      </c>
      <c r="L1601" s="756" t="s">
        <v>745</v>
      </c>
      <c r="M1601" s="154">
        <v>0.01</v>
      </c>
    </row>
    <row r="1602" spans="2:13" outlineLevel="1">
      <c r="B1602" s="659"/>
      <c r="C1602" s="660" t="s">
        <v>86</v>
      </c>
      <c r="D1602" s="661"/>
      <c r="E1602" s="659" t="s">
        <v>149</v>
      </c>
      <c r="F1602" s="664" t="s">
        <v>76</v>
      </c>
      <c r="G1602" s="664">
        <v>0.4</v>
      </c>
      <c r="H1602" s="174">
        <f>VLOOKUP(C1602,'UPAH-BAHAN'!D:F,2,0)</f>
        <v>160000</v>
      </c>
      <c r="I1602" s="631">
        <f t="shared" si="33"/>
        <v>64000</v>
      </c>
      <c r="J1602" s="273"/>
      <c r="K1602" s="154" t="e">
        <f>VLOOKUP(A1602,#REF!,1,0)</f>
        <v>#REF!</v>
      </c>
      <c r="L1602" s="756" t="s">
        <v>746</v>
      </c>
      <c r="M1602" s="154">
        <v>0.4</v>
      </c>
    </row>
    <row r="1603" spans="2:13" outlineLevel="1">
      <c r="B1603" s="659"/>
      <c r="C1603" s="660" t="s">
        <v>99</v>
      </c>
      <c r="D1603" s="661"/>
      <c r="E1603" s="659" t="s">
        <v>150</v>
      </c>
      <c r="F1603" s="664" t="s">
        <v>76</v>
      </c>
      <c r="G1603" s="664">
        <v>0.04</v>
      </c>
      <c r="H1603" s="174">
        <f>VLOOKUP(C1603,'UPAH-BAHAN'!D:F,2,0)</f>
        <v>170000</v>
      </c>
      <c r="I1603" s="631">
        <f t="shared" si="33"/>
        <v>6800</v>
      </c>
      <c r="J1603" s="273"/>
      <c r="K1603" s="154" t="e">
        <f>VLOOKUP(A1603,#REF!,1,0)</f>
        <v>#REF!</v>
      </c>
      <c r="L1603" s="756" t="s">
        <v>747</v>
      </c>
      <c r="M1603" s="154">
        <v>0.04</v>
      </c>
    </row>
    <row r="1604" spans="2:13" outlineLevel="1">
      <c r="B1604" s="659"/>
      <c r="C1604" s="660" t="s">
        <v>80</v>
      </c>
      <c r="D1604" s="661"/>
      <c r="E1604" s="659" t="s">
        <v>151</v>
      </c>
      <c r="F1604" s="664" t="s">
        <v>76</v>
      </c>
      <c r="G1604" s="664">
        <v>5.0000000000000001E-3</v>
      </c>
      <c r="H1604" s="174">
        <f>VLOOKUP(C1604,'UPAH-BAHAN'!D:F,2,0)</f>
        <v>225000</v>
      </c>
      <c r="I1604" s="631">
        <f t="shared" si="33"/>
        <v>1125</v>
      </c>
      <c r="J1604" s="273"/>
      <c r="K1604" s="154" t="e">
        <f>VLOOKUP(A1604,#REF!,1,0)</f>
        <v>#REF!</v>
      </c>
      <c r="L1604" s="756" t="s">
        <v>748</v>
      </c>
      <c r="M1604" s="154">
        <v>5.0000000000000001E-3</v>
      </c>
    </row>
    <row r="1605" spans="2:13" outlineLevel="1">
      <c r="B1605" s="659"/>
      <c r="C1605" s="660"/>
      <c r="D1605" s="661"/>
      <c r="E1605" s="688"/>
      <c r="F1605" s="662"/>
      <c r="G1605" s="660" t="s">
        <v>171</v>
      </c>
      <c r="H1605" s="666"/>
      <c r="I1605" s="666">
        <f>SUM(I1601:I1604)</f>
        <v>73125</v>
      </c>
      <c r="J1605" s="273"/>
      <c r="K1605" s="154" t="e">
        <f>VLOOKUP(A1605,#REF!,1,0)</f>
        <v>#REF!</v>
      </c>
    </row>
    <row r="1606" spans="2:13" outlineLevel="1">
      <c r="B1606" s="659" t="s">
        <v>153</v>
      </c>
      <c r="C1606" s="660" t="s">
        <v>154</v>
      </c>
      <c r="D1606" s="661"/>
      <c r="E1606" s="688"/>
      <c r="F1606" s="662"/>
      <c r="G1606" s="662"/>
      <c r="H1606" s="666"/>
      <c r="I1606" s="666"/>
      <c r="J1606" s="273"/>
      <c r="K1606" s="154" t="e">
        <f>VLOOKUP(A1606,#REF!,1,0)</f>
        <v>#REF!</v>
      </c>
    </row>
    <row r="1607" spans="2:13" outlineLevel="1">
      <c r="B1607" s="659"/>
      <c r="C1607" s="730" t="s">
        <v>781</v>
      </c>
      <c r="D1607" s="661"/>
      <c r="E1607" s="688"/>
      <c r="F1607" s="664" t="s">
        <v>23</v>
      </c>
      <c r="G1607" s="664">
        <v>1</v>
      </c>
      <c r="H1607" s="174">
        <f>VLOOKUP(C1607,'UPAH-BAHAN'!D:F,2,0)</f>
        <v>150000</v>
      </c>
      <c r="I1607" s="631">
        <f t="shared" ref="I1607" si="34">H1607*G1607</f>
        <v>150000</v>
      </c>
      <c r="J1607" s="273"/>
      <c r="K1607" s="154" t="e">
        <f>VLOOKUP(A1607,#REF!,1,0)</f>
        <v>#REF!</v>
      </c>
    </row>
    <row r="1608" spans="2:13" outlineLevel="1">
      <c r="B1608" s="659"/>
      <c r="C1608" s="660"/>
      <c r="D1608" s="661"/>
      <c r="E1608" s="688"/>
      <c r="F1608" s="662"/>
      <c r="G1608" s="660" t="s">
        <v>172</v>
      </c>
      <c r="H1608" s="666"/>
      <c r="I1608" s="666">
        <f>SUM(I1607:I1607)</f>
        <v>150000</v>
      </c>
      <c r="J1608" s="273"/>
      <c r="K1608" s="154" t="e">
        <f>VLOOKUP(A1608,#REF!,1,0)</f>
        <v>#REF!</v>
      </c>
    </row>
    <row r="1609" spans="2:13" outlineLevel="1">
      <c r="B1609" s="659" t="s">
        <v>157</v>
      </c>
      <c r="C1609" s="660" t="s">
        <v>158</v>
      </c>
      <c r="D1609" s="661"/>
      <c r="E1609" s="688"/>
      <c r="F1609" s="662"/>
      <c r="G1609" s="662"/>
      <c r="H1609" s="663"/>
      <c r="I1609" s="663"/>
      <c r="J1609" s="273"/>
      <c r="K1609" s="154" t="e">
        <f>VLOOKUP(A1609,#REF!,1,0)</f>
        <v>#REF!</v>
      </c>
    </row>
    <row r="1610" spans="2:13" outlineLevel="1">
      <c r="B1610" s="659"/>
      <c r="C1610" s="660"/>
      <c r="D1610" s="661"/>
      <c r="E1610" s="688"/>
      <c r="F1610" s="662"/>
      <c r="G1610" s="662"/>
      <c r="H1610" s="663"/>
      <c r="I1610" s="663"/>
      <c r="J1610" s="273"/>
      <c r="K1610" s="154" t="e">
        <f>VLOOKUP(A1610,#REF!,1,0)</f>
        <v>#REF!</v>
      </c>
    </row>
    <row r="1611" spans="2:13" outlineLevel="1">
      <c r="B1611" s="664"/>
      <c r="C1611" s="667"/>
      <c r="D1611" s="668"/>
      <c r="E1611" s="688"/>
      <c r="F1611" s="662"/>
      <c r="G1611" s="660" t="s">
        <v>159</v>
      </c>
      <c r="H1611" s="663"/>
      <c r="I1611" s="663">
        <f>I1610</f>
        <v>0</v>
      </c>
      <c r="J1611" s="273"/>
      <c r="K1611" s="154" t="e">
        <f>VLOOKUP(A1611,#REF!,1,0)</f>
        <v>#REF!</v>
      </c>
    </row>
    <row r="1612" spans="2:13" outlineLevel="1">
      <c r="B1612" s="662"/>
      <c r="C1612" s="669"/>
      <c r="D1612" s="670"/>
      <c r="E1612" s="688"/>
      <c r="F1612" s="662"/>
      <c r="G1612" s="662"/>
      <c r="H1612" s="663"/>
      <c r="I1612" s="663"/>
      <c r="J1612" s="273"/>
      <c r="K1612" s="154" t="e">
        <f>VLOOKUP(A1612,#REF!,1,0)</f>
        <v>#REF!</v>
      </c>
    </row>
    <row r="1613" spans="2:13" outlineLevel="1">
      <c r="B1613" s="659" t="s">
        <v>160</v>
      </c>
      <c r="C1613" s="660" t="s">
        <v>161</v>
      </c>
      <c r="D1613" s="661"/>
      <c r="E1613" s="673"/>
      <c r="F1613" s="663"/>
      <c r="G1613" s="663"/>
      <c r="H1613" s="663"/>
      <c r="I1613" s="666">
        <f>I1611+I1608+I1605</f>
        <v>223125</v>
      </c>
      <c r="J1613" s="273"/>
      <c r="K1613" s="154" t="e">
        <f>VLOOKUP(A1613,#REF!,1,0)</f>
        <v>#REF!</v>
      </c>
    </row>
    <row r="1614" spans="2:13" outlineLevel="1">
      <c r="B1614" s="659" t="s">
        <v>162</v>
      </c>
      <c r="C1614" s="660" t="s">
        <v>82</v>
      </c>
      <c r="D1614" s="661"/>
      <c r="E1614" s="752"/>
      <c r="F1614" s="671"/>
      <c r="G1614" s="672">
        <f>$J$3</f>
        <v>0.15</v>
      </c>
      <c r="H1614" s="673"/>
      <c r="I1614" s="674">
        <f>I1613*G1614</f>
        <v>33468.75</v>
      </c>
      <c r="J1614" s="273"/>
      <c r="K1614" s="154" t="e">
        <f>VLOOKUP(A1614,#REF!,1,0)</f>
        <v>#REF!</v>
      </c>
    </row>
    <row r="1615" spans="2:13" outlineLevel="1">
      <c r="B1615" s="659" t="s">
        <v>163</v>
      </c>
      <c r="C1615" s="660" t="s">
        <v>164</v>
      </c>
      <c r="D1615" s="661"/>
      <c r="E1615" s="673"/>
      <c r="F1615" s="663"/>
      <c r="G1615" s="663"/>
      <c r="H1615" s="663"/>
      <c r="I1615" s="666">
        <f>I1614+I1613</f>
        <v>256593.75</v>
      </c>
      <c r="J1615" s="273"/>
      <c r="K1615" s="154" t="e">
        <f>VLOOKUP(A1615,#REF!,1,0)</f>
        <v>#REF!</v>
      </c>
    </row>
    <row r="1616" spans="2:13" outlineLevel="1">
      <c r="B1616" s="184"/>
      <c r="D1616" s="186"/>
      <c r="E1616" s="186"/>
      <c r="F1616" s="280"/>
      <c r="G1616" s="280"/>
      <c r="H1616" s="280"/>
      <c r="I1616" s="331"/>
      <c r="J1616" s="273"/>
      <c r="K1616" s="154" t="e">
        <f>VLOOKUP(A1616,#REF!,1,0)</f>
        <v>#REF!</v>
      </c>
    </row>
    <row r="1618" spans="1:11" ht="20.399999999999999">
      <c r="A1618" s="155"/>
      <c r="B1618" s="571" t="s">
        <v>695</v>
      </c>
      <c r="C1618" s="156"/>
      <c r="D1618" s="156"/>
      <c r="E1618" s="156"/>
      <c r="F1618" s="156"/>
      <c r="G1618" s="712"/>
      <c r="H1618" s="157"/>
      <c r="I1618" s="156"/>
      <c r="J1618" s="158"/>
      <c r="K1618" s="154" t="e">
        <f>VLOOKUP(A1618,#REF!,1,0)</f>
        <v>#REF!</v>
      </c>
    </row>
    <row r="1619" spans="1:11">
      <c r="A1619" s="167" t="str">
        <f>B1619</f>
        <v>A.5.1.1 25.</v>
      </c>
      <c r="B1619" s="287" t="s">
        <v>284</v>
      </c>
      <c r="D1619" s="167" t="s">
        <v>758</v>
      </c>
      <c r="J1619" s="273">
        <f>I1637</f>
        <v>41465.166666666672</v>
      </c>
      <c r="K1619" s="154" t="e">
        <f>VLOOKUP(A1619,#REF!,1,0)</f>
        <v>#REF!</v>
      </c>
    </row>
    <row r="1620" spans="1:11" ht="31.2" outlineLevel="1">
      <c r="A1620" s="163"/>
      <c r="B1620" s="658" t="s">
        <v>75</v>
      </c>
      <c r="C1620" s="1249" t="s">
        <v>140</v>
      </c>
      <c r="D1620" s="1250"/>
      <c r="E1620" s="658" t="s">
        <v>141</v>
      </c>
      <c r="F1620" s="658" t="s">
        <v>142</v>
      </c>
      <c r="G1620" s="658" t="s">
        <v>143</v>
      </c>
      <c r="H1620" s="659" t="s">
        <v>144</v>
      </c>
      <c r="I1620" s="659" t="s">
        <v>145</v>
      </c>
      <c r="J1620" s="625"/>
      <c r="K1620" s="154" t="e">
        <f>VLOOKUP(A1620,#REF!,1,0)</f>
        <v>#REF!</v>
      </c>
    </row>
    <row r="1621" spans="1:11" outlineLevel="1">
      <c r="B1621" s="659" t="s">
        <v>146</v>
      </c>
      <c r="C1621" s="660" t="s">
        <v>147</v>
      </c>
      <c r="D1621" s="661"/>
      <c r="E1621" s="688"/>
      <c r="F1621" s="662"/>
      <c r="G1621" s="662"/>
      <c r="H1621" s="663"/>
      <c r="I1621" s="663"/>
      <c r="J1621" s="273"/>
      <c r="K1621" s="154" t="e">
        <f>VLOOKUP(A1621,#REF!,1,0)</f>
        <v>#REF!</v>
      </c>
    </row>
    <row r="1622" spans="1:11" outlineLevel="1">
      <c r="B1622" s="659"/>
      <c r="C1622" s="660" t="s">
        <v>77</v>
      </c>
      <c r="D1622" s="661"/>
      <c r="E1622" s="659" t="s">
        <v>148</v>
      </c>
      <c r="F1622" s="664" t="s">
        <v>76</v>
      </c>
      <c r="G1622" s="665">
        <v>3.5999999999999997E-2</v>
      </c>
      <c r="H1622" s="174">
        <f>VLOOKUP(C1622,'UPAH-BAHAN'!D:F,2,0)</f>
        <v>120000</v>
      </c>
      <c r="I1622" s="631">
        <f t="shared" ref="I1622:I1625" si="35">H1622*G1622</f>
        <v>4320</v>
      </c>
      <c r="J1622" s="273"/>
      <c r="K1622" s="154" t="e">
        <f>VLOOKUP(A1622,#REF!,1,0)</f>
        <v>#REF!</v>
      </c>
    </row>
    <row r="1623" spans="1:11" outlineLevel="1">
      <c r="B1623" s="659"/>
      <c r="C1623" s="660" t="s">
        <v>86</v>
      </c>
      <c r="D1623" s="661"/>
      <c r="E1623" s="659" t="s">
        <v>149</v>
      </c>
      <c r="F1623" s="664" t="s">
        <v>76</v>
      </c>
      <c r="G1623" s="664">
        <v>0.06</v>
      </c>
      <c r="H1623" s="174">
        <f>VLOOKUP(C1623,'UPAH-BAHAN'!D:F,2,0)</f>
        <v>160000</v>
      </c>
      <c r="I1623" s="631">
        <f t="shared" si="35"/>
        <v>9600</v>
      </c>
      <c r="J1623" s="273"/>
      <c r="K1623" s="154" t="e">
        <f>VLOOKUP(A1623,#REF!,1,0)</f>
        <v>#REF!</v>
      </c>
    </row>
    <row r="1624" spans="1:11" outlineLevel="1">
      <c r="B1624" s="659"/>
      <c r="C1624" s="660" t="s">
        <v>99</v>
      </c>
      <c r="D1624" s="661"/>
      <c r="E1624" s="659" t="s">
        <v>150</v>
      </c>
      <c r="F1624" s="664" t="s">
        <v>76</v>
      </c>
      <c r="G1624" s="664">
        <v>6.0000000000000001E-3</v>
      </c>
      <c r="H1624" s="174">
        <f>VLOOKUP(C1624,'UPAH-BAHAN'!D:F,2,0)</f>
        <v>170000</v>
      </c>
      <c r="I1624" s="631">
        <f t="shared" si="35"/>
        <v>1020</v>
      </c>
      <c r="J1624" s="273"/>
      <c r="K1624" s="154" t="e">
        <f>VLOOKUP(A1624,#REF!,1,0)</f>
        <v>#REF!</v>
      </c>
    </row>
    <row r="1625" spans="1:11" outlineLevel="1">
      <c r="B1625" s="659"/>
      <c r="C1625" s="660" t="s">
        <v>80</v>
      </c>
      <c r="D1625" s="661"/>
      <c r="E1625" s="659" t="s">
        <v>151</v>
      </c>
      <c r="F1625" s="664" t="s">
        <v>76</v>
      </c>
      <c r="G1625" s="664">
        <v>2E-3</v>
      </c>
      <c r="H1625" s="174">
        <f>VLOOKUP(C1625,'UPAH-BAHAN'!D:F,2,0)</f>
        <v>225000</v>
      </c>
      <c r="I1625" s="631">
        <f t="shared" si="35"/>
        <v>450</v>
      </c>
      <c r="J1625" s="273"/>
      <c r="K1625" s="154" t="e">
        <f>VLOOKUP(A1625,#REF!,1,0)</f>
        <v>#REF!</v>
      </c>
    </row>
    <row r="1626" spans="1:11" outlineLevel="1">
      <c r="B1626" s="659"/>
      <c r="C1626" s="660"/>
      <c r="D1626" s="661"/>
      <c r="E1626" s="688"/>
      <c r="F1626" s="662"/>
      <c r="G1626" s="660" t="s">
        <v>171</v>
      </c>
      <c r="H1626" s="666"/>
      <c r="I1626" s="666">
        <f>SUM(I1622:I1625)</f>
        <v>15390</v>
      </c>
      <c r="J1626" s="273"/>
      <c r="K1626" s="154" t="e">
        <f>VLOOKUP(A1626,#REF!,1,0)</f>
        <v>#REF!</v>
      </c>
    </row>
    <row r="1627" spans="1:11" outlineLevel="1">
      <c r="B1627" s="659" t="s">
        <v>153</v>
      </c>
      <c r="C1627" s="660" t="s">
        <v>154</v>
      </c>
      <c r="D1627" s="661"/>
      <c r="E1627" s="688"/>
      <c r="F1627" s="662"/>
      <c r="G1627" s="662"/>
      <c r="H1627" s="666"/>
      <c r="I1627" s="666"/>
      <c r="J1627" s="273"/>
      <c r="K1627" s="154" t="e">
        <f>VLOOKUP(A1627,#REF!,1,0)</f>
        <v>#REF!</v>
      </c>
    </row>
    <row r="1628" spans="1:11" outlineLevel="1">
      <c r="B1628" s="659"/>
      <c r="C1628" s="730" t="s">
        <v>285</v>
      </c>
      <c r="D1628" s="661"/>
      <c r="E1628" s="688"/>
      <c r="F1628" s="664" t="s">
        <v>286</v>
      </c>
      <c r="G1628" s="664">
        <v>1.2</v>
      </c>
      <c r="H1628" s="174">
        <f>VLOOKUP(C1628,'UPAH-BAHAN'!D:F,2,0)</f>
        <v>13333.333333333334</v>
      </c>
      <c r="I1628" s="631">
        <f t="shared" ref="I1628:I1629" si="36">H1628*G1628</f>
        <v>16000</v>
      </c>
      <c r="J1628" s="273"/>
      <c r="K1628" s="154" t="e">
        <f>VLOOKUP(A1628,#REF!,1,0)</f>
        <v>#REF!</v>
      </c>
    </row>
    <row r="1629" spans="1:11" outlineLevel="1">
      <c r="B1629" s="659"/>
      <c r="C1629" s="660" t="s">
        <v>614</v>
      </c>
      <c r="D1629" s="661"/>
      <c r="E1629" s="688"/>
      <c r="F1629" s="664" t="s">
        <v>615</v>
      </c>
      <c r="G1629" s="664">
        <v>0.35</v>
      </c>
      <c r="H1629" s="174">
        <f>H1628</f>
        <v>13333.333333333334</v>
      </c>
      <c r="I1629" s="631">
        <f t="shared" si="36"/>
        <v>4666.666666666667</v>
      </c>
      <c r="J1629" s="273"/>
      <c r="K1629" s="154" t="e">
        <f>VLOOKUP(A1629,#REF!,1,0)</f>
        <v>#REF!</v>
      </c>
    </row>
    <row r="1630" spans="1:11" outlineLevel="1">
      <c r="B1630" s="659"/>
      <c r="C1630" s="660"/>
      <c r="D1630" s="661"/>
      <c r="E1630" s="688"/>
      <c r="F1630" s="662"/>
      <c r="G1630" s="660" t="s">
        <v>172</v>
      </c>
      <c r="H1630" s="666"/>
      <c r="I1630" s="666">
        <f>SUM(I1628:I1629)</f>
        <v>20666.666666666668</v>
      </c>
      <c r="J1630" s="273"/>
      <c r="K1630" s="154" t="e">
        <f>VLOOKUP(A1630,#REF!,1,0)</f>
        <v>#REF!</v>
      </c>
    </row>
    <row r="1631" spans="1:11" outlineLevel="1">
      <c r="B1631" s="659" t="s">
        <v>157</v>
      </c>
      <c r="C1631" s="660" t="s">
        <v>158</v>
      </c>
      <c r="D1631" s="661"/>
      <c r="E1631" s="688"/>
      <c r="F1631" s="662"/>
      <c r="G1631" s="662"/>
      <c r="H1631" s="663"/>
      <c r="I1631" s="663"/>
      <c r="J1631" s="273"/>
      <c r="K1631" s="154" t="e">
        <f>VLOOKUP(A1631,#REF!,1,0)</f>
        <v>#REF!</v>
      </c>
    </row>
    <row r="1632" spans="1:11" outlineLevel="1">
      <c r="B1632" s="659"/>
      <c r="C1632" s="660"/>
      <c r="D1632" s="661"/>
      <c r="E1632" s="688"/>
      <c r="F1632" s="662"/>
      <c r="G1632" s="662"/>
      <c r="H1632" s="663"/>
      <c r="I1632" s="663"/>
      <c r="J1632" s="273"/>
      <c r="K1632" s="154" t="e">
        <f>VLOOKUP(A1632,#REF!,1,0)</f>
        <v>#REF!</v>
      </c>
    </row>
    <row r="1633" spans="1:11" outlineLevel="1">
      <c r="B1633" s="664"/>
      <c r="C1633" s="667"/>
      <c r="D1633" s="668"/>
      <c r="E1633" s="688"/>
      <c r="F1633" s="662"/>
      <c r="G1633" s="660" t="s">
        <v>159</v>
      </c>
      <c r="H1633" s="663"/>
      <c r="I1633" s="663">
        <f>I1632</f>
        <v>0</v>
      </c>
      <c r="J1633" s="273"/>
      <c r="K1633" s="154" t="e">
        <f>VLOOKUP(A1633,#REF!,1,0)</f>
        <v>#REF!</v>
      </c>
    </row>
    <row r="1634" spans="1:11" outlineLevel="1">
      <c r="B1634" s="662"/>
      <c r="C1634" s="669"/>
      <c r="D1634" s="670"/>
      <c r="E1634" s="688"/>
      <c r="F1634" s="662"/>
      <c r="G1634" s="662"/>
      <c r="H1634" s="663"/>
      <c r="I1634" s="663"/>
      <c r="J1634" s="273"/>
      <c r="K1634" s="154" t="e">
        <f>VLOOKUP(A1634,#REF!,1,0)</f>
        <v>#REF!</v>
      </c>
    </row>
    <row r="1635" spans="1:11" outlineLevel="1">
      <c r="B1635" s="659" t="s">
        <v>160</v>
      </c>
      <c r="C1635" s="660" t="s">
        <v>161</v>
      </c>
      <c r="D1635" s="661"/>
      <c r="E1635" s="673"/>
      <c r="F1635" s="663"/>
      <c r="G1635" s="663"/>
      <c r="H1635" s="663"/>
      <c r="I1635" s="666">
        <f>I1633+I1630+I1626</f>
        <v>36056.666666666672</v>
      </c>
      <c r="J1635" s="273"/>
      <c r="K1635" s="154" t="e">
        <f>VLOOKUP(A1635,#REF!,1,0)</f>
        <v>#REF!</v>
      </c>
    </row>
    <row r="1636" spans="1:11" outlineLevel="1">
      <c r="B1636" s="659" t="s">
        <v>162</v>
      </c>
      <c r="C1636" s="660" t="s">
        <v>82</v>
      </c>
      <c r="D1636" s="661"/>
      <c r="E1636" s="752"/>
      <c r="F1636" s="671"/>
      <c r="G1636" s="672">
        <f>$J$3</f>
        <v>0.15</v>
      </c>
      <c r="H1636" s="673"/>
      <c r="I1636" s="674">
        <f>I1635*G1636</f>
        <v>5408.5000000000009</v>
      </c>
      <c r="J1636" s="273"/>
      <c r="K1636" s="154" t="e">
        <f>VLOOKUP(A1636,#REF!,1,0)</f>
        <v>#REF!</v>
      </c>
    </row>
    <row r="1637" spans="1:11" outlineLevel="1">
      <c r="B1637" s="659" t="s">
        <v>163</v>
      </c>
      <c r="C1637" s="660" t="s">
        <v>164</v>
      </c>
      <c r="D1637" s="661"/>
      <c r="E1637" s="673"/>
      <c r="F1637" s="663"/>
      <c r="G1637" s="663"/>
      <c r="H1637" s="663"/>
      <c r="I1637" s="666">
        <f>I1636+I1635</f>
        <v>41465.166666666672</v>
      </c>
      <c r="J1637" s="273"/>
      <c r="K1637" s="154" t="e">
        <f>VLOOKUP(A1637,#REF!,1,0)</f>
        <v>#REF!</v>
      </c>
    </row>
    <row r="1638" spans="1:11" outlineLevel="1">
      <c r="B1638" s="184"/>
      <c r="D1638" s="186"/>
      <c r="E1638" s="186"/>
      <c r="F1638" s="280"/>
      <c r="G1638" s="280"/>
      <c r="H1638" s="280"/>
      <c r="I1638" s="331"/>
      <c r="J1638" s="273"/>
      <c r="K1638" s="154" t="e">
        <f>VLOOKUP(A1638,#REF!,1,0)</f>
        <v>#REF!</v>
      </c>
    </row>
    <row r="1639" spans="1:11">
      <c r="A1639" s="167" t="str">
        <f>B1639</f>
        <v>A.5.1.1 26.</v>
      </c>
      <c r="B1639" s="287" t="s">
        <v>690</v>
      </c>
      <c r="D1639" s="167" t="s">
        <v>759</v>
      </c>
      <c r="J1639" s="273">
        <f>I1657</f>
        <v>32552.666666666664</v>
      </c>
      <c r="K1639" s="154" t="e">
        <f>VLOOKUP(A1639,#REF!,1,0)</f>
        <v>#REF!</v>
      </c>
    </row>
    <row r="1640" spans="1:11" ht="31.2" outlineLevel="1">
      <c r="A1640" s="163"/>
      <c r="B1640" s="658" t="s">
        <v>75</v>
      </c>
      <c r="C1640" s="1249" t="s">
        <v>140</v>
      </c>
      <c r="D1640" s="1250"/>
      <c r="E1640" s="658" t="s">
        <v>141</v>
      </c>
      <c r="F1640" s="658" t="s">
        <v>142</v>
      </c>
      <c r="G1640" s="658" t="s">
        <v>143</v>
      </c>
      <c r="H1640" s="659" t="s">
        <v>144</v>
      </c>
      <c r="I1640" s="659" t="s">
        <v>145</v>
      </c>
      <c r="J1640" s="625"/>
      <c r="K1640" s="154" t="e">
        <f>VLOOKUP(A1640,#REF!,1,0)</f>
        <v>#REF!</v>
      </c>
    </row>
    <row r="1641" spans="1:11" outlineLevel="1">
      <c r="B1641" s="659" t="s">
        <v>146</v>
      </c>
      <c r="C1641" s="660" t="s">
        <v>147</v>
      </c>
      <c r="D1641" s="661"/>
      <c r="E1641" s="688"/>
      <c r="F1641" s="662"/>
      <c r="G1641" s="662"/>
      <c r="H1641" s="663"/>
      <c r="I1641" s="663"/>
      <c r="J1641" s="273"/>
      <c r="K1641" s="154" t="e">
        <f>VLOOKUP(A1641,#REF!,1,0)</f>
        <v>#REF!</v>
      </c>
    </row>
    <row r="1642" spans="1:11" outlineLevel="1">
      <c r="B1642" s="659"/>
      <c r="C1642" s="660" t="s">
        <v>77</v>
      </c>
      <c r="D1642" s="661"/>
      <c r="E1642" s="659" t="s">
        <v>148</v>
      </c>
      <c r="F1642" s="664" t="s">
        <v>76</v>
      </c>
      <c r="G1642" s="665">
        <v>3.5999999999999997E-2</v>
      </c>
      <c r="H1642" s="174">
        <f>VLOOKUP(C1642,'UPAH-BAHAN'!D:F,2,0)</f>
        <v>120000</v>
      </c>
      <c r="I1642" s="631">
        <f t="shared" ref="I1642:I1645" si="37">H1642*G1642</f>
        <v>4320</v>
      </c>
      <c r="J1642" s="273"/>
      <c r="K1642" s="154" t="e">
        <f>VLOOKUP(A1642,#REF!,1,0)</f>
        <v>#REF!</v>
      </c>
    </row>
    <row r="1643" spans="1:11" outlineLevel="1">
      <c r="B1643" s="659"/>
      <c r="C1643" s="660" t="s">
        <v>86</v>
      </c>
      <c r="D1643" s="661"/>
      <c r="E1643" s="659" t="s">
        <v>149</v>
      </c>
      <c r="F1643" s="664" t="s">
        <v>76</v>
      </c>
      <c r="G1643" s="664">
        <v>0.06</v>
      </c>
      <c r="H1643" s="174">
        <f>VLOOKUP(C1643,'UPAH-BAHAN'!D:F,2,0)</f>
        <v>160000</v>
      </c>
      <c r="I1643" s="631">
        <f t="shared" si="37"/>
        <v>9600</v>
      </c>
      <c r="J1643" s="273"/>
      <c r="K1643" s="154" t="e">
        <f>VLOOKUP(A1643,#REF!,1,0)</f>
        <v>#REF!</v>
      </c>
    </row>
    <row r="1644" spans="1:11" outlineLevel="1">
      <c r="B1644" s="659"/>
      <c r="C1644" s="660" t="s">
        <v>99</v>
      </c>
      <c r="D1644" s="661"/>
      <c r="E1644" s="659" t="s">
        <v>150</v>
      </c>
      <c r="F1644" s="664" t="s">
        <v>76</v>
      </c>
      <c r="G1644" s="664">
        <v>6.0000000000000001E-3</v>
      </c>
      <c r="H1644" s="174">
        <f>VLOOKUP(C1644,'UPAH-BAHAN'!D:F,2,0)</f>
        <v>170000</v>
      </c>
      <c r="I1644" s="631">
        <f t="shared" si="37"/>
        <v>1020</v>
      </c>
      <c r="J1644" s="273"/>
      <c r="K1644" s="154" t="e">
        <f>VLOOKUP(A1644,#REF!,1,0)</f>
        <v>#REF!</v>
      </c>
    </row>
    <row r="1645" spans="1:11" outlineLevel="1">
      <c r="B1645" s="659"/>
      <c r="C1645" s="660" t="s">
        <v>80</v>
      </c>
      <c r="D1645" s="661"/>
      <c r="E1645" s="659" t="s">
        <v>151</v>
      </c>
      <c r="F1645" s="664" t="s">
        <v>76</v>
      </c>
      <c r="G1645" s="664">
        <v>2E-3</v>
      </c>
      <c r="H1645" s="174">
        <f>VLOOKUP(C1645,'UPAH-BAHAN'!D:F,2,0)</f>
        <v>225000</v>
      </c>
      <c r="I1645" s="631">
        <f t="shared" si="37"/>
        <v>450</v>
      </c>
      <c r="J1645" s="273"/>
      <c r="K1645" s="154" t="e">
        <f>VLOOKUP(A1645,#REF!,1,0)</f>
        <v>#REF!</v>
      </c>
    </row>
    <row r="1646" spans="1:11" outlineLevel="1">
      <c r="B1646" s="659"/>
      <c r="C1646" s="660"/>
      <c r="D1646" s="661"/>
      <c r="E1646" s="688"/>
      <c r="F1646" s="662"/>
      <c r="G1646" s="660" t="s">
        <v>171</v>
      </c>
      <c r="H1646" s="666"/>
      <c r="I1646" s="666">
        <f>SUM(I1642:I1645)</f>
        <v>15390</v>
      </c>
      <c r="J1646" s="273"/>
      <c r="K1646" s="154" t="e">
        <f>VLOOKUP(A1646,#REF!,1,0)</f>
        <v>#REF!</v>
      </c>
    </row>
    <row r="1647" spans="1:11" outlineLevel="1">
      <c r="B1647" s="659" t="s">
        <v>153</v>
      </c>
      <c r="C1647" s="660" t="s">
        <v>154</v>
      </c>
      <c r="D1647" s="661"/>
      <c r="E1647" s="688"/>
      <c r="F1647" s="662"/>
      <c r="G1647" s="662"/>
      <c r="H1647" s="666"/>
      <c r="I1647" s="666"/>
      <c r="J1647" s="273"/>
      <c r="K1647" s="154" t="e">
        <f>VLOOKUP(A1647,#REF!,1,0)</f>
        <v>#REF!</v>
      </c>
    </row>
    <row r="1648" spans="1:11" outlineLevel="1">
      <c r="B1648" s="659"/>
      <c r="C1648" s="730" t="s">
        <v>760</v>
      </c>
      <c r="D1648" s="661"/>
      <c r="E1648" s="688"/>
      <c r="F1648" s="664" t="s">
        <v>286</v>
      </c>
      <c r="G1648" s="664">
        <v>1.2</v>
      </c>
      <c r="H1648" s="174">
        <f>VLOOKUP(C1648,'UPAH-BAHAN'!D:F,2,0)</f>
        <v>8333.3333333333339</v>
      </c>
      <c r="I1648" s="631">
        <f t="shared" ref="I1648:I1649" si="38">H1648*G1648</f>
        <v>10000</v>
      </c>
      <c r="J1648" s="273"/>
      <c r="K1648" s="154" t="e">
        <f>VLOOKUP(A1648,#REF!,1,0)</f>
        <v>#REF!</v>
      </c>
    </row>
    <row r="1649" spans="1:11" outlineLevel="1">
      <c r="B1649" s="659"/>
      <c r="C1649" s="660" t="s">
        <v>614</v>
      </c>
      <c r="D1649" s="661"/>
      <c r="E1649" s="688"/>
      <c r="F1649" s="664" t="s">
        <v>615</v>
      </c>
      <c r="G1649" s="664">
        <v>0.35</v>
      </c>
      <c r="H1649" s="174">
        <f>H1648</f>
        <v>8333.3333333333339</v>
      </c>
      <c r="I1649" s="631">
        <f t="shared" si="38"/>
        <v>2916.6666666666665</v>
      </c>
      <c r="J1649" s="273"/>
      <c r="K1649" s="154" t="e">
        <f>VLOOKUP(A1649,#REF!,1,0)</f>
        <v>#REF!</v>
      </c>
    </row>
    <row r="1650" spans="1:11" outlineLevel="1">
      <c r="B1650" s="659"/>
      <c r="C1650" s="660"/>
      <c r="D1650" s="661"/>
      <c r="E1650" s="688"/>
      <c r="F1650" s="662"/>
      <c r="G1650" s="660" t="s">
        <v>172</v>
      </c>
      <c r="H1650" s="666"/>
      <c r="I1650" s="666">
        <f>SUM(I1648:I1649)</f>
        <v>12916.666666666666</v>
      </c>
      <c r="J1650" s="273"/>
      <c r="K1650" s="154" t="e">
        <f>VLOOKUP(A1650,#REF!,1,0)</f>
        <v>#REF!</v>
      </c>
    </row>
    <row r="1651" spans="1:11" outlineLevel="1">
      <c r="B1651" s="659" t="s">
        <v>157</v>
      </c>
      <c r="C1651" s="660" t="s">
        <v>158</v>
      </c>
      <c r="D1651" s="661"/>
      <c r="E1651" s="688"/>
      <c r="F1651" s="662"/>
      <c r="G1651" s="662"/>
      <c r="H1651" s="663"/>
      <c r="I1651" s="663"/>
      <c r="J1651" s="273"/>
      <c r="K1651" s="154" t="e">
        <f>VLOOKUP(A1651,#REF!,1,0)</f>
        <v>#REF!</v>
      </c>
    </row>
    <row r="1652" spans="1:11" outlineLevel="1">
      <c r="B1652" s="659"/>
      <c r="C1652" s="660"/>
      <c r="D1652" s="661"/>
      <c r="E1652" s="688"/>
      <c r="F1652" s="662"/>
      <c r="G1652" s="662"/>
      <c r="H1652" s="663"/>
      <c r="I1652" s="663"/>
      <c r="J1652" s="273"/>
      <c r="K1652" s="154" t="e">
        <f>VLOOKUP(A1652,#REF!,1,0)</f>
        <v>#REF!</v>
      </c>
    </row>
    <row r="1653" spans="1:11" outlineLevel="1">
      <c r="B1653" s="664"/>
      <c r="C1653" s="667"/>
      <c r="D1653" s="668"/>
      <c r="E1653" s="688"/>
      <c r="F1653" s="662"/>
      <c r="G1653" s="660" t="s">
        <v>159</v>
      </c>
      <c r="H1653" s="663"/>
      <c r="I1653" s="663">
        <f>I1652</f>
        <v>0</v>
      </c>
      <c r="J1653" s="273"/>
      <c r="K1653" s="154" t="e">
        <f>VLOOKUP(A1653,#REF!,1,0)</f>
        <v>#REF!</v>
      </c>
    </row>
    <row r="1654" spans="1:11" outlineLevel="1">
      <c r="B1654" s="662"/>
      <c r="C1654" s="669"/>
      <c r="D1654" s="670"/>
      <c r="E1654" s="688"/>
      <c r="F1654" s="662"/>
      <c r="G1654" s="662"/>
      <c r="H1654" s="663"/>
      <c r="I1654" s="663"/>
      <c r="J1654" s="273"/>
      <c r="K1654" s="154" t="e">
        <f>VLOOKUP(A1654,#REF!,1,0)</f>
        <v>#REF!</v>
      </c>
    </row>
    <row r="1655" spans="1:11" outlineLevel="1">
      <c r="B1655" s="659" t="s">
        <v>160</v>
      </c>
      <c r="C1655" s="660" t="s">
        <v>161</v>
      </c>
      <c r="D1655" s="661"/>
      <c r="E1655" s="673"/>
      <c r="F1655" s="663"/>
      <c r="G1655" s="663"/>
      <c r="H1655" s="663"/>
      <c r="I1655" s="666">
        <f>I1653+I1650+I1646</f>
        <v>28306.666666666664</v>
      </c>
      <c r="J1655" s="273"/>
      <c r="K1655" s="154" t="e">
        <f>VLOOKUP(A1655,#REF!,1,0)</f>
        <v>#REF!</v>
      </c>
    </row>
    <row r="1656" spans="1:11" outlineLevel="1">
      <c r="B1656" s="659" t="s">
        <v>162</v>
      </c>
      <c r="C1656" s="660" t="s">
        <v>82</v>
      </c>
      <c r="D1656" s="661"/>
      <c r="E1656" s="752"/>
      <c r="F1656" s="671"/>
      <c r="G1656" s="672">
        <f>$J$3</f>
        <v>0.15</v>
      </c>
      <c r="H1656" s="673"/>
      <c r="I1656" s="674">
        <f>I1655*G1656</f>
        <v>4245.9999999999991</v>
      </c>
      <c r="J1656" s="273"/>
      <c r="K1656" s="154" t="e">
        <f>VLOOKUP(A1656,#REF!,1,0)</f>
        <v>#REF!</v>
      </c>
    </row>
    <row r="1657" spans="1:11" outlineLevel="1">
      <c r="B1657" s="659" t="s">
        <v>163</v>
      </c>
      <c r="C1657" s="660" t="s">
        <v>164</v>
      </c>
      <c r="D1657" s="661"/>
      <c r="E1657" s="673"/>
      <c r="F1657" s="663"/>
      <c r="G1657" s="663"/>
      <c r="H1657" s="663"/>
      <c r="I1657" s="666">
        <f>I1656+I1655</f>
        <v>32552.666666666664</v>
      </c>
      <c r="J1657" s="273"/>
      <c r="K1657" s="154" t="e">
        <f>VLOOKUP(A1657,#REF!,1,0)</f>
        <v>#REF!</v>
      </c>
    </row>
    <row r="1658" spans="1:11" outlineLevel="1">
      <c r="B1658" s="184"/>
      <c r="D1658" s="186"/>
      <c r="E1658" s="186"/>
      <c r="F1658" s="280"/>
      <c r="G1658" s="280"/>
      <c r="H1658" s="280"/>
      <c r="I1658" s="331"/>
      <c r="J1658" s="273"/>
      <c r="K1658" s="154" t="e">
        <f>VLOOKUP(A1658,#REF!,1,0)</f>
        <v>#REF!</v>
      </c>
    </row>
    <row r="1659" spans="1:11">
      <c r="A1659" s="167" t="str">
        <f>B1659</f>
        <v>A.5.1.1 27.</v>
      </c>
      <c r="B1659" s="287" t="s">
        <v>691</v>
      </c>
      <c r="D1659" s="167" t="s">
        <v>761</v>
      </c>
      <c r="J1659" s="273">
        <f>I1677</f>
        <v>44372.75</v>
      </c>
      <c r="K1659" s="154" t="e">
        <f>VLOOKUP(A1659,#REF!,1,0)</f>
        <v>#REF!</v>
      </c>
    </row>
    <row r="1660" spans="1:11" ht="31.2" outlineLevel="1">
      <c r="A1660" s="163"/>
      <c r="B1660" s="658" t="s">
        <v>75</v>
      </c>
      <c r="C1660" s="1249" t="s">
        <v>140</v>
      </c>
      <c r="D1660" s="1250"/>
      <c r="E1660" s="658" t="s">
        <v>141</v>
      </c>
      <c r="F1660" s="658" t="s">
        <v>142</v>
      </c>
      <c r="G1660" s="658" t="s">
        <v>143</v>
      </c>
      <c r="H1660" s="659" t="s">
        <v>144</v>
      </c>
      <c r="I1660" s="659" t="s">
        <v>145</v>
      </c>
      <c r="J1660" s="625"/>
      <c r="K1660" s="154" t="e">
        <f>VLOOKUP(A1660,#REF!,1,0)</f>
        <v>#REF!</v>
      </c>
    </row>
    <row r="1661" spans="1:11" outlineLevel="1">
      <c r="B1661" s="659" t="s">
        <v>146</v>
      </c>
      <c r="C1661" s="660" t="s">
        <v>147</v>
      </c>
      <c r="D1661" s="661"/>
      <c r="E1661" s="688"/>
      <c r="F1661" s="662"/>
      <c r="G1661" s="662"/>
      <c r="H1661" s="663"/>
      <c r="I1661" s="663"/>
      <c r="J1661" s="273"/>
      <c r="K1661" s="154" t="e">
        <f>VLOOKUP(A1661,#REF!,1,0)</f>
        <v>#REF!</v>
      </c>
    </row>
    <row r="1662" spans="1:11" outlineLevel="1">
      <c r="B1662" s="659"/>
      <c r="C1662" s="660" t="s">
        <v>77</v>
      </c>
      <c r="D1662" s="661"/>
      <c r="E1662" s="659" t="s">
        <v>148</v>
      </c>
      <c r="F1662" s="664" t="s">
        <v>76</v>
      </c>
      <c r="G1662" s="665">
        <v>5.3999999999999999E-2</v>
      </c>
      <c r="H1662" s="174">
        <f>VLOOKUP(C1662,'UPAH-BAHAN'!D:F,2,0)</f>
        <v>120000</v>
      </c>
      <c r="I1662" s="631">
        <f t="shared" ref="I1662:I1665" si="39">H1662*G1662</f>
        <v>6480</v>
      </c>
      <c r="J1662" s="273"/>
      <c r="K1662" s="154" t="e">
        <f>VLOOKUP(A1662,#REF!,1,0)</f>
        <v>#REF!</v>
      </c>
    </row>
    <row r="1663" spans="1:11" outlineLevel="1">
      <c r="B1663" s="659"/>
      <c r="C1663" s="660" t="s">
        <v>86</v>
      </c>
      <c r="D1663" s="661"/>
      <c r="E1663" s="659" t="s">
        <v>149</v>
      </c>
      <c r="F1663" s="664" t="s">
        <v>76</v>
      </c>
      <c r="G1663" s="664">
        <v>0.09</v>
      </c>
      <c r="H1663" s="174">
        <f>VLOOKUP(C1663,'UPAH-BAHAN'!D:F,2,0)</f>
        <v>160000</v>
      </c>
      <c r="I1663" s="631">
        <f t="shared" si="39"/>
        <v>14400</v>
      </c>
      <c r="J1663" s="273"/>
      <c r="K1663" s="154" t="e">
        <f>VLOOKUP(A1663,#REF!,1,0)</f>
        <v>#REF!</v>
      </c>
    </row>
    <row r="1664" spans="1:11" outlineLevel="1">
      <c r="B1664" s="659"/>
      <c r="C1664" s="660" t="s">
        <v>99</v>
      </c>
      <c r="D1664" s="661"/>
      <c r="E1664" s="659" t="s">
        <v>150</v>
      </c>
      <c r="F1664" s="664" t="s">
        <v>76</v>
      </c>
      <c r="G1664" s="664">
        <v>8.9999999999999993E-3</v>
      </c>
      <c r="H1664" s="174">
        <f>VLOOKUP(C1664,'UPAH-BAHAN'!D:F,2,0)</f>
        <v>170000</v>
      </c>
      <c r="I1664" s="631">
        <f t="shared" si="39"/>
        <v>1529.9999999999998</v>
      </c>
      <c r="J1664" s="273"/>
      <c r="K1664" s="154" t="e">
        <f>VLOOKUP(A1664,#REF!,1,0)</f>
        <v>#REF!</v>
      </c>
    </row>
    <row r="1665" spans="1:11" outlineLevel="1">
      <c r="B1665" s="659"/>
      <c r="C1665" s="660" t="s">
        <v>80</v>
      </c>
      <c r="D1665" s="661"/>
      <c r="E1665" s="659" t="s">
        <v>151</v>
      </c>
      <c r="F1665" s="664" t="s">
        <v>76</v>
      </c>
      <c r="G1665" s="664">
        <v>3.0000000000000001E-3</v>
      </c>
      <c r="H1665" s="174">
        <f>VLOOKUP(C1665,'UPAH-BAHAN'!D:F,2,0)</f>
        <v>225000</v>
      </c>
      <c r="I1665" s="631">
        <f t="shared" si="39"/>
        <v>675</v>
      </c>
      <c r="J1665" s="273"/>
      <c r="K1665" s="154" t="e">
        <f>VLOOKUP(A1665,#REF!,1,0)</f>
        <v>#REF!</v>
      </c>
    </row>
    <row r="1666" spans="1:11" outlineLevel="1">
      <c r="B1666" s="659"/>
      <c r="C1666" s="660"/>
      <c r="D1666" s="661"/>
      <c r="E1666" s="688"/>
      <c r="F1666" s="662"/>
      <c r="G1666" s="660" t="s">
        <v>171</v>
      </c>
      <c r="H1666" s="666"/>
      <c r="I1666" s="666">
        <f>SUM(I1662:I1665)</f>
        <v>23085</v>
      </c>
      <c r="J1666" s="273"/>
      <c r="K1666" s="154" t="e">
        <f>VLOOKUP(A1666,#REF!,1,0)</f>
        <v>#REF!</v>
      </c>
    </row>
    <row r="1667" spans="1:11" outlineLevel="1">
      <c r="B1667" s="659" t="s">
        <v>153</v>
      </c>
      <c r="C1667" s="660" t="s">
        <v>154</v>
      </c>
      <c r="D1667" s="661"/>
      <c r="E1667" s="688"/>
      <c r="F1667" s="662"/>
      <c r="G1667" s="662"/>
      <c r="H1667" s="666"/>
      <c r="I1667" s="666"/>
      <c r="J1667" s="273"/>
      <c r="K1667" s="154" t="e">
        <f>VLOOKUP(A1667,#REF!,1,0)</f>
        <v>#REF!</v>
      </c>
    </row>
    <row r="1668" spans="1:11" outlineLevel="1">
      <c r="B1668" s="659"/>
      <c r="C1668" s="730" t="s">
        <v>762</v>
      </c>
      <c r="D1668" s="661"/>
      <c r="E1668" s="688"/>
      <c r="F1668" s="664" t="s">
        <v>286</v>
      </c>
      <c r="G1668" s="664">
        <v>1.2</v>
      </c>
      <c r="H1668" s="174">
        <f>VLOOKUP(C1668,'UPAH-BAHAN'!D:F,2,0)</f>
        <v>10000</v>
      </c>
      <c r="I1668" s="631">
        <f t="shared" ref="I1668:I1669" si="40">H1668*G1668</f>
        <v>12000</v>
      </c>
      <c r="J1668" s="273"/>
      <c r="K1668" s="154" t="e">
        <f>VLOOKUP(A1668,#REF!,1,0)</f>
        <v>#REF!</v>
      </c>
    </row>
    <row r="1669" spans="1:11" outlineLevel="1">
      <c r="B1669" s="659"/>
      <c r="C1669" s="660" t="s">
        <v>614</v>
      </c>
      <c r="D1669" s="661"/>
      <c r="E1669" s="688"/>
      <c r="F1669" s="664" t="s">
        <v>615</v>
      </c>
      <c r="G1669" s="664">
        <v>0.35</v>
      </c>
      <c r="H1669" s="174">
        <f>H1668</f>
        <v>10000</v>
      </c>
      <c r="I1669" s="631">
        <f t="shared" si="40"/>
        <v>3500</v>
      </c>
      <c r="J1669" s="273"/>
      <c r="K1669" s="154" t="e">
        <f>VLOOKUP(A1669,#REF!,1,0)</f>
        <v>#REF!</v>
      </c>
    </row>
    <row r="1670" spans="1:11" outlineLevel="1">
      <c r="B1670" s="659"/>
      <c r="C1670" s="660"/>
      <c r="D1670" s="661"/>
      <c r="E1670" s="688"/>
      <c r="F1670" s="662"/>
      <c r="G1670" s="660" t="s">
        <v>172</v>
      </c>
      <c r="H1670" s="666"/>
      <c r="I1670" s="666">
        <f>SUM(I1668:I1669)</f>
        <v>15500</v>
      </c>
      <c r="J1670" s="273"/>
      <c r="K1670" s="154" t="e">
        <f>VLOOKUP(A1670,#REF!,1,0)</f>
        <v>#REF!</v>
      </c>
    </row>
    <row r="1671" spans="1:11" outlineLevel="1">
      <c r="B1671" s="659" t="s">
        <v>157</v>
      </c>
      <c r="C1671" s="660" t="s">
        <v>158</v>
      </c>
      <c r="D1671" s="661"/>
      <c r="E1671" s="688"/>
      <c r="F1671" s="662"/>
      <c r="G1671" s="662"/>
      <c r="H1671" s="663"/>
      <c r="I1671" s="663"/>
      <c r="J1671" s="273"/>
      <c r="K1671" s="154" t="e">
        <f>VLOOKUP(A1671,#REF!,1,0)</f>
        <v>#REF!</v>
      </c>
    </row>
    <row r="1672" spans="1:11" outlineLevel="1">
      <c r="B1672" s="659"/>
      <c r="C1672" s="660"/>
      <c r="D1672" s="661"/>
      <c r="E1672" s="688"/>
      <c r="F1672" s="662"/>
      <c r="G1672" s="662"/>
      <c r="H1672" s="663"/>
      <c r="I1672" s="663"/>
      <c r="J1672" s="273"/>
      <c r="K1672" s="154" t="e">
        <f>VLOOKUP(A1672,#REF!,1,0)</f>
        <v>#REF!</v>
      </c>
    </row>
    <row r="1673" spans="1:11" outlineLevel="1">
      <c r="B1673" s="664"/>
      <c r="C1673" s="667"/>
      <c r="D1673" s="668"/>
      <c r="E1673" s="688"/>
      <c r="F1673" s="662"/>
      <c r="G1673" s="660" t="s">
        <v>159</v>
      </c>
      <c r="H1673" s="663"/>
      <c r="I1673" s="663">
        <f>I1672</f>
        <v>0</v>
      </c>
      <c r="J1673" s="273"/>
      <c r="K1673" s="154" t="e">
        <f>VLOOKUP(A1673,#REF!,1,0)</f>
        <v>#REF!</v>
      </c>
    </row>
    <row r="1674" spans="1:11" outlineLevel="1">
      <c r="B1674" s="662"/>
      <c r="C1674" s="669"/>
      <c r="D1674" s="670"/>
      <c r="E1674" s="688"/>
      <c r="F1674" s="662"/>
      <c r="G1674" s="662"/>
      <c r="H1674" s="663"/>
      <c r="I1674" s="663"/>
      <c r="J1674" s="273"/>
      <c r="K1674" s="154" t="e">
        <f>VLOOKUP(A1674,#REF!,1,0)</f>
        <v>#REF!</v>
      </c>
    </row>
    <row r="1675" spans="1:11" outlineLevel="1">
      <c r="B1675" s="659" t="s">
        <v>160</v>
      </c>
      <c r="C1675" s="660" t="s">
        <v>161</v>
      </c>
      <c r="D1675" s="661"/>
      <c r="E1675" s="673"/>
      <c r="F1675" s="663"/>
      <c r="G1675" s="663"/>
      <c r="H1675" s="663"/>
      <c r="I1675" s="666">
        <f>I1673+I1670+I1666</f>
        <v>38585</v>
      </c>
      <c r="J1675" s="273"/>
      <c r="K1675" s="154" t="e">
        <f>VLOOKUP(A1675,#REF!,1,0)</f>
        <v>#REF!</v>
      </c>
    </row>
    <row r="1676" spans="1:11" outlineLevel="1">
      <c r="B1676" s="659" t="s">
        <v>162</v>
      </c>
      <c r="C1676" s="660" t="s">
        <v>82</v>
      </c>
      <c r="D1676" s="661"/>
      <c r="E1676" s="752"/>
      <c r="F1676" s="671"/>
      <c r="G1676" s="672">
        <f>$J$3</f>
        <v>0.15</v>
      </c>
      <c r="H1676" s="673"/>
      <c r="I1676" s="674">
        <f>I1675*G1676</f>
        <v>5787.75</v>
      </c>
      <c r="J1676" s="273"/>
      <c r="K1676" s="154" t="e">
        <f>VLOOKUP(A1676,#REF!,1,0)</f>
        <v>#REF!</v>
      </c>
    </row>
    <row r="1677" spans="1:11" outlineLevel="1">
      <c r="B1677" s="659" t="s">
        <v>163</v>
      </c>
      <c r="C1677" s="660" t="s">
        <v>164</v>
      </c>
      <c r="D1677" s="661"/>
      <c r="E1677" s="673"/>
      <c r="F1677" s="663"/>
      <c r="G1677" s="663"/>
      <c r="H1677" s="663"/>
      <c r="I1677" s="666">
        <f>I1676+I1675</f>
        <v>44372.75</v>
      </c>
      <c r="J1677" s="273"/>
      <c r="K1677" s="154" t="e">
        <f>VLOOKUP(A1677,#REF!,1,0)</f>
        <v>#REF!</v>
      </c>
    </row>
    <row r="1678" spans="1:11" outlineLevel="1" collapsed="1">
      <c r="B1678" s="287"/>
      <c r="D1678" s="167"/>
      <c r="J1678" s="273"/>
    </row>
    <row r="1679" spans="1:11">
      <c r="A1679" s="167" t="str">
        <f>B1679</f>
        <v>A.5.1.1 28.</v>
      </c>
      <c r="B1679" s="287" t="s">
        <v>692</v>
      </c>
      <c r="D1679" s="167" t="s">
        <v>763</v>
      </c>
      <c r="J1679" s="273">
        <f>I1697</f>
        <v>50314.416666666672</v>
      </c>
      <c r="K1679" s="154" t="e">
        <f>VLOOKUP(A1679,#REF!,1,0)</f>
        <v>#REF!</v>
      </c>
    </row>
    <row r="1680" spans="1:11" ht="31.2" outlineLevel="1">
      <c r="A1680" s="163"/>
      <c r="B1680" s="658" t="s">
        <v>75</v>
      </c>
      <c r="C1680" s="1249" t="s">
        <v>140</v>
      </c>
      <c r="D1680" s="1250"/>
      <c r="E1680" s="658" t="s">
        <v>141</v>
      </c>
      <c r="F1680" s="658" t="s">
        <v>142</v>
      </c>
      <c r="G1680" s="658" t="s">
        <v>143</v>
      </c>
      <c r="H1680" s="659" t="s">
        <v>144</v>
      </c>
      <c r="I1680" s="659" t="s">
        <v>145</v>
      </c>
      <c r="J1680" s="625"/>
      <c r="K1680" s="154" t="e">
        <f>VLOOKUP(A1680,#REF!,1,0)</f>
        <v>#REF!</v>
      </c>
    </row>
    <row r="1681" spans="2:11" outlineLevel="1">
      <c r="B1681" s="659" t="s">
        <v>146</v>
      </c>
      <c r="C1681" s="660" t="s">
        <v>147</v>
      </c>
      <c r="D1681" s="661"/>
      <c r="E1681" s="688"/>
      <c r="F1681" s="662"/>
      <c r="G1681" s="662"/>
      <c r="H1681" s="663"/>
      <c r="I1681" s="663"/>
      <c r="J1681" s="273"/>
      <c r="K1681" s="154" t="e">
        <f>VLOOKUP(A1681,#REF!,1,0)</f>
        <v>#REF!</v>
      </c>
    </row>
    <row r="1682" spans="2:11" outlineLevel="1">
      <c r="B1682" s="659"/>
      <c r="C1682" s="660" t="s">
        <v>77</v>
      </c>
      <c r="D1682" s="661"/>
      <c r="E1682" s="659" t="s">
        <v>148</v>
      </c>
      <c r="F1682" s="664" t="s">
        <v>76</v>
      </c>
      <c r="G1682" s="665">
        <v>5.3999999999999999E-2</v>
      </c>
      <c r="H1682" s="174">
        <f>VLOOKUP(C1682,'UPAH-BAHAN'!D:F,2,0)</f>
        <v>120000</v>
      </c>
      <c r="I1682" s="631">
        <f t="shared" ref="I1682:I1685" si="41">H1682*G1682</f>
        <v>6480</v>
      </c>
      <c r="J1682" s="273"/>
      <c r="K1682" s="154" t="e">
        <f>VLOOKUP(A1682,#REF!,1,0)</f>
        <v>#REF!</v>
      </c>
    </row>
    <row r="1683" spans="2:11" outlineLevel="1">
      <c r="B1683" s="659"/>
      <c r="C1683" s="660" t="s">
        <v>86</v>
      </c>
      <c r="D1683" s="661"/>
      <c r="E1683" s="659" t="s">
        <v>149</v>
      </c>
      <c r="F1683" s="664" t="s">
        <v>76</v>
      </c>
      <c r="G1683" s="664">
        <v>0.09</v>
      </c>
      <c r="H1683" s="174">
        <f>VLOOKUP(C1683,'UPAH-BAHAN'!D:F,2,0)</f>
        <v>160000</v>
      </c>
      <c r="I1683" s="631">
        <f t="shared" si="41"/>
        <v>14400</v>
      </c>
      <c r="J1683" s="273"/>
      <c r="K1683" s="154" t="e">
        <f>VLOOKUP(A1683,#REF!,1,0)</f>
        <v>#REF!</v>
      </c>
    </row>
    <row r="1684" spans="2:11" outlineLevel="1">
      <c r="B1684" s="659"/>
      <c r="C1684" s="660" t="s">
        <v>99</v>
      </c>
      <c r="D1684" s="661"/>
      <c r="E1684" s="659" t="s">
        <v>150</v>
      </c>
      <c r="F1684" s="664" t="s">
        <v>76</v>
      </c>
      <c r="G1684" s="664">
        <v>8.9999999999999993E-3</v>
      </c>
      <c r="H1684" s="174">
        <f>VLOOKUP(C1684,'UPAH-BAHAN'!D:F,2,0)</f>
        <v>170000</v>
      </c>
      <c r="I1684" s="631">
        <f t="shared" si="41"/>
        <v>1529.9999999999998</v>
      </c>
      <c r="J1684" s="273"/>
      <c r="K1684" s="154" t="e">
        <f>VLOOKUP(A1684,#REF!,1,0)</f>
        <v>#REF!</v>
      </c>
    </row>
    <row r="1685" spans="2:11" outlineLevel="1">
      <c r="B1685" s="659"/>
      <c r="C1685" s="660" t="s">
        <v>80</v>
      </c>
      <c r="D1685" s="661"/>
      <c r="E1685" s="659" t="s">
        <v>151</v>
      </c>
      <c r="F1685" s="664" t="s">
        <v>76</v>
      </c>
      <c r="G1685" s="664">
        <v>3.0000000000000001E-3</v>
      </c>
      <c r="H1685" s="174">
        <f>VLOOKUP(C1685,'UPAH-BAHAN'!D:F,2,0)</f>
        <v>225000</v>
      </c>
      <c r="I1685" s="631">
        <f t="shared" si="41"/>
        <v>675</v>
      </c>
      <c r="J1685" s="273"/>
      <c r="K1685" s="154" t="e">
        <f>VLOOKUP(A1685,#REF!,1,0)</f>
        <v>#REF!</v>
      </c>
    </row>
    <row r="1686" spans="2:11" outlineLevel="1">
      <c r="B1686" s="659"/>
      <c r="C1686" s="660"/>
      <c r="D1686" s="661"/>
      <c r="E1686" s="688"/>
      <c r="F1686" s="662"/>
      <c r="G1686" s="660" t="s">
        <v>171</v>
      </c>
      <c r="H1686" s="666"/>
      <c r="I1686" s="666">
        <f>SUM(I1682:I1685)</f>
        <v>23085</v>
      </c>
      <c r="J1686" s="273"/>
      <c r="K1686" s="154" t="e">
        <f>VLOOKUP(A1686,#REF!,1,0)</f>
        <v>#REF!</v>
      </c>
    </row>
    <row r="1687" spans="2:11" outlineLevel="1">
      <c r="B1687" s="659" t="s">
        <v>153</v>
      </c>
      <c r="C1687" s="660" t="s">
        <v>154</v>
      </c>
      <c r="D1687" s="661"/>
      <c r="E1687" s="688"/>
      <c r="F1687" s="662"/>
      <c r="G1687" s="662"/>
      <c r="H1687" s="666"/>
      <c r="I1687" s="666"/>
      <c r="J1687" s="273"/>
      <c r="K1687" s="154" t="e">
        <f>VLOOKUP(A1687,#REF!,1,0)</f>
        <v>#REF!</v>
      </c>
    </row>
    <row r="1688" spans="2:11" outlineLevel="1">
      <c r="B1688" s="659"/>
      <c r="C1688" s="730" t="s">
        <v>764</v>
      </c>
      <c r="D1688" s="661"/>
      <c r="E1688" s="688"/>
      <c r="F1688" s="664" t="s">
        <v>286</v>
      </c>
      <c r="G1688" s="664">
        <v>1.2</v>
      </c>
      <c r="H1688" s="174">
        <f>VLOOKUP(C1688,'UPAH-BAHAN'!D:F,2,0)</f>
        <v>13333.333333333334</v>
      </c>
      <c r="I1688" s="631">
        <f t="shared" ref="I1688:I1689" si="42">H1688*G1688</f>
        <v>16000</v>
      </c>
      <c r="J1688" s="273"/>
      <c r="K1688" s="154" t="e">
        <f>VLOOKUP(A1688,#REF!,1,0)</f>
        <v>#REF!</v>
      </c>
    </row>
    <row r="1689" spans="2:11" outlineLevel="1">
      <c r="B1689" s="659"/>
      <c r="C1689" s="660" t="s">
        <v>614</v>
      </c>
      <c r="D1689" s="661"/>
      <c r="E1689" s="688"/>
      <c r="F1689" s="664" t="s">
        <v>615</v>
      </c>
      <c r="G1689" s="664">
        <v>0.35</v>
      </c>
      <c r="H1689" s="174">
        <f>H1688</f>
        <v>13333.333333333334</v>
      </c>
      <c r="I1689" s="631">
        <f t="shared" si="42"/>
        <v>4666.666666666667</v>
      </c>
      <c r="J1689" s="273"/>
      <c r="K1689" s="154" t="e">
        <f>VLOOKUP(A1689,#REF!,1,0)</f>
        <v>#REF!</v>
      </c>
    </row>
    <row r="1690" spans="2:11" outlineLevel="1">
      <c r="B1690" s="659"/>
      <c r="C1690" s="660"/>
      <c r="D1690" s="661"/>
      <c r="E1690" s="688"/>
      <c r="F1690" s="662"/>
      <c r="G1690" s="660" t="s">
        <v>172</v>
      </c>
      <c r="H1690" s="666"/>
      <c r="I1690" s="666">
        <f>SUM(I1688:I1689)</f>
        <v>20666.666666666668</v>
      </c>
      <c r="J1690" s="273"/>
      <c r="K1690" s="154" t="e">
        <f>VLOOKUP(A1690,#REF!,1,0)</f>
        <v>#REF!</v>
      </c>
    </row>
    <row r="1691" spans="2:11" outlineLevel="1">
      <c r="B1691" s="659" t="s">
        <v>157</v>
      </c>
      <c r="C1691" s="660" t="s">
        <v>158</v>
      </c>
      <c r="D1691" s="661"/>
      <c r="E1691" s="688"/>
      <c r="F1691" s="662"/>
      <c r="G1691" s="662"/>
      <c r="H1691" s="663"/>
      <c r="I1691" s="663"/>
      <c r="J1691" s="273"/>
      <c r="K1691" s="154" t="e">
        <f>VLOOKUP(A1691,#REF!,1,0)</f>
        <v>#REF!</v>
      </c>
    </row>
    <row r="1692" spans="2:11" outlineLevel="1">
      <c r="B1692" s="659"/>
      <c r="C1692" s="660"/>
      <c r="D1692" s="661"/>
      <c r="E1692" s="688"/>
      <c r="F1692" s="662"/>
      <c r="G1692" s="662"/>
      <c r="H1692" s="663"/>
      <c r="I1692" s="663"/>
      <c r="J1692" s="273"/>
      <c r="K1692" s="154" t="e">
        <f>VLOOKUP(A1692,#REF!,1,0)</f>
        <v>#REF!</v>
      </c>
    </row>
    <row r="1693" spans="2:11" outlineLevel="1">
      <c r="B1693" s="664"/>
      <c r="C1693" s="667"/>
      <c r="D1693" s="668"/>
      <c r="E1693" s="688"/>
      <c r="F1693" s="662"/>
      <c r="G1693" s="660" t="s">
        <v>159</v>
      </c>
      <c r="H1693" s="663"/>
      <c r="I1693" s="663">
        <f>I1692</f>
        <v>0</v>
      </c>
      <c r="J1693" s="273"/>
      <c r="K1693" s="154" t="e">
        <f>VLOOKUP(A1693,#REF!,1,0)</f>
        <v>#REF!</v>
      </c>
    </row>
    <row r="1694" spans="2:11" outlineLevel="1">
      <c r="B1694" s="662"/>
      <c r="C1694" s="669"/>
      <c r="D1694" s="670"/>
      <c r="E1694" s="688"/>
      <c r="F1694" s="662"/>
      <c r="G1694" s="662"/>
      <c r="H1694" s="663"/>
      <c r="I1694" s="663"/>
      <c r="J1694" s="273"/>
      <c r="K1694" s="154" t="e">
        <f>VLOOKUP(A1694,#REF!,1,0)</f>
        <v>#REF!</v>
      </c>
    </row>
    <row r="1695" spans="2:11" outlineLevel="1">
      <c r="B1695" s="659" t="s">
        <v>160</v>
      </c>
      <c r="C1695" s="660" t="s">
        <v>161</v>
      </c>
      <c r="D1695" s="661"/>
      <c r="E1695" s="673"/>
      <c r="F1695" s="663"/>
      <c r="G1695" s="663"/>
      <c r="H1695" s="663"/>
      <c r="I1695" s="666">
        <f>I1693+I1690+I1686</f>
        <v>43751.666666666672</v>
      </c>
      <c r="J1695" s="273"/>
      <c r="K1695" s="154" t="e">
        <f>VLOOKUP(A1695,#REF!,1,0)</f>
        <v>#REF!</v>
      </c>
    </row>
    <row r="1696" spans="2:11" outlineLevel="1">
      <c r="B1696" s="659" t="s">
        <v>162</v>
      </c>
      <c r="C1696" s="660" t="s">
        <v>82</v>
      </c>
      <c r="D1696" s="661"/>
      <c r="E1696" s="752"/>
      <c r="F1696" s="671"/>
      <c r="G1696" s="672">
        <f>$J$3</f>
        <v>0.15</v>
      </c>
      <c r="H1696" s="673"/>
      <c r="I1696" s="674">
        <f>I1695*G1696</f>
        <v>6562.7500000000009</v>
      </c>
      <c r="J1696" s="273"/>
      <c r="K1696" s="154" t="e">
        <f>VLOOKUP(A1696,#REF!,1,0)</f>
        <v>#REF!</v>
      </c>
    </row>
    <row r="1697" spans="1:11" outlineLevel="1">
      <c r="B1697" s="659" t="s">
        <v>163</v>
      </c>
      <c r="C1697" s="660" t="s">
        <v>164</v>
      </c>
      <c r="D1697" s="661"/>
      <c r="E1697" s="673"/>
      <c r="F1697" s="663"/>
      <c r="G1697" s="663"/>
      <c r="H1697" s="663"/>
      <c r="I1697" s="666">
        <f>I1696+I1695</f>
        <v>50314.416666666672</v>
      </c>
      <c r="J1697" s="273"/>
      <c r="K1697" s="154" t="e">
        <f>VLOOKUP(A1697,#REF!,1,0)</f>
        <v>#REF!</v>
      </c>
    </row>
    <row r="1698" spans="1:11" outlineLevel="1" collapsed="1">
      <c r="B1698" s="287"/>
      <c r="D1698" s="167"/>
      <c r="J1698" s="273"/>
    </row>
    <row r="1699" spans="1:11">
      <c r="A1699" s="167" t="str">
        <f>B1699</f>
        <v>A.5.1.1 29.</v>
      </c>
      <c r="B1699" s="287" t="s">
        <v>693</v>
      </c>
      <c r="D1699" s="167" t="s">
        <v>765</v>
      </c>
      <c r="J1699" s="273">
        <f>I1717</f>
        <v>71110.25</v>
      </c>
      <c r="K1699" s="154" t="e">
        <f>VLOOKUP(A1699,#REF!,1,0)</f>
        <v>#REF!</v>
      </c>
    </row>
    <row r="1700" spans="1:11" ht="31.2" outlineLevel="1">
      <c r="A1700" s="163"/>
      <c r="B1700" s="658" t="s">
        <v>75</v>
      </c>
      <c r="C1700" s="1249" t="s">
        <v>140</v>
      </c>
      <c r="D1700" s="1250"/>
      <c r="E1700" s="658" t="s">
        <v>141</v>
      </c>
      <c r="F1700" s="658" t="s">
        <v>142</v>
      </c>
      <c r="G1700" s="658" t="s">
        <v>143</v>
      </c>
      <c r="H1700" s="659" t="s">
        <v>144</v>
      </c>
      <c r="I1700" s="659" t="s">
        <v>145</v>
      </c>
      <c r="J1700" s="625"/>
      <c r="K1700" s="154" t="e">
        <f>VLOOKUP(A1700,#REF!,1,0)</f>
        <v>#REF!</v>
      </c>
    </row>
    <row r="1701" spans="1:11" outlineLevel="1">
      <c r="B1701" s="659" t="s">
        <v>146</v>
      </c>
      <c r="C1701" s="660" t="s">
        <v>147</v>
      </c>
      <c r="D1701" s="661"/>
      <c r="E1701" s="688"/>
      <c r="F1701" s="662"/>
      <c r="G1701" s="662"/>
      <c r="H1701" s="663"/>
      <c r="I1701" s="663"/>
      <c r="J1701" s="273"/>
      <c r="K1701" s="154" t="e">
        <f>VLOOKUP(A1701,#REF!,1,0)</f>
        <v>#REF!</v>
      </c>
    </row>
    <row r="1702" spans="1:11" outlineLevel="1">
      <c r="B1702" s="659"/>
      <c r="C1702" s="660" t="s">
        <v>77</v>
      </c>
      <c r="D1702" s="661"/>
      <c r="E1702" s="659" t="s">
        <v>148</v>
      </c>
      <c r="F1702" s="664" t="s">
        <v>76</v>
      </c>
      <c r="G1702" s="665">
        <v>5.3999999999999999E-2</v>
      </c>
      <c r="H1702" s="174">
        <f>VLOOKUP(C1702,'UPAH-BAHAN'!D:F,2,0)</f>
        <v>120000</v>
      </c>
      <c r="I1702" s="631">
        <f t="shared" ref="I1702:I1705" si="43">H1702*G1702</f>
        <v>6480</v>
      </c>
      <c r="J1702" s="273"/>
      <c r="K1702" s="154" t="e">
        <f>VLOOKUP(A1702,#REF!,1,0)</f>
        <v>#REF!</v>
      </c>
    </row>
    <row r="1703" spans="1:11" outlineLevel="1">
      <c r="B1703" s="659"/>
      <c r="C1703" s="660" t="s">
        <v>86</v>
      </c>
      <c r="D1703" s="661"/>
      <c r="E1703" s="659" t="s">
        <v>149</v>
      </c>
      <c r="F1703" s="664" t="s">
        <v>76</v>
      </c>
      <c r="G1703" s="664">
        <v>0.09</v>
      </c>
      <c r="H1703" s="174">
        <f>VLOOKUP(C1703,'UPAH-BAHAN'!D:F,2,0)</f>
        <v>160000</v>
      </c>
      <c r="I1703" s="631">
        <f t="shared" si="43"/>
        <v>14400</v>
      </c>
      <c r="J1703" s="273"/>
      <c r="K1703" s="154" t="e">
        <f>VLOOKUP(A1703,#REF!,1,0)</f>
        <v>#REF!</v>
      </c>
    </row>
    <row r="1704" spans="1:11" outlineLevel="1">
      <c r="B1704" s="659"/>
      <c r="C1704" s="660" t="s">
        <v>99</v>
      </c>
      <c r="D1704" s="661"/>
      <c r="E1704" s="659" t="s">
        <v>150</v>
      </c>
      <c r="F1704" s="664" t="s">
        <v>76</v>
      </c>
      <c r="G1704" s="664">
        <v>8.9999999999999993E-3</v>
      </c>
      <c r="H1704" s="174">
        <f>VLOOKUP(C1704,'UPAH-BAHAN'!D:F,2,0)</f>
        <v>170000</v>
      </c>
      <c r="I1704" s="631">
        <f t="shared" si="43"/>
        <v>1529.9999999999998</v>
      </c>
      <c r="J1704" s="273"/>
      <c r="K1704" s="154" t="e">
        <f>VLOOKUP(A1704,#REF!,1,0)</f>
        <v>#REF!</v>
      </c>
    </row>
    <row r="1705" spans="1:11" outlineLevel="1">
      <c r="B1705" s="659"/>
      <c r="C1705" s="660" t="s">
        <v>80</v>
      </c>
      <c r="D1705" s="661"/>
      <c r="E1705" s="659" t="s">
        <v>151</v>
      </c>
      <c r="F1705" s="664" t="s">
        <v>76</v>
      </c>
      <c r="G1705" s="664">
        <v>3.0000000000000001E-3</v>
      </c>
      <c r="H1705" s="174">
        <f>VLOOKUP(C1705,'UPAH-BAHAN'!D:F,2,0)</f>
        <v>225000</v>
      </c>
      <c r="I1705" s="631">
        <f t="shared" si="43"/>
        <v>675</v>
      </c>
      <c r="J1705" s="273"/>
      <c r="K1705" s="154" t="e">
        <f>VLOOKUP(A1705,#REF!,1,0)</f>
        <v>#REF!</v>
      </c>
    </row>
    <row r="1706" spans="1:11" outlineLevel="1">
      <c r="B1706" s="659"/>
      <c r="C1706" s="660"/>
      <c r="D1706" s="661"/>
      <c r="E1706" s="688"/>
      <c r="F1706" s="662"/>
      <c r="G1706" s="660" t="s">
        <v>171</v>
      </c>
      <c r="H1706" s="666"/>
      <c r="I1706" s="666">
        <f>SUM(I1702:I1705)</f>
        <v>23085</v>
      </c>
      <c r="J1706" s="273"/>
      <c r="K1706" s="154" t="e">
        <f>VLOOKUP(A1706,#REF!,1,0)</f>
        <v>#REF!</v>
      </c>
    </row>
    <row r="1707" spans="1:11" outlineLevel="1">
      <c r="B1707" s="659" t="s">
        <v>153</v>
      </c>
      <c r="C1707" s="660" t="s">
        <v>154</v>
      </c>
      <c r="D1707" s="661"/>
      <c r="E1707" s="688"/>
      <c r="F1707" s="662"/>
      <c r="G1707" s="662"/>
      <c r="H1707" s="666"/>
      <c r="I1707" s="666"/>
      <c r="J1707" s="273"/>
      <c r="K1707" s="154" t="e">
        <f>VLOOKUP(A1707,#REF!,1,0)</f>
        <v>#REF!</v>
      </c>
    </row>
    <row r="1708" spans="1:11" outlineLevel="1">
      <c r="B1708" s="659"/>
      <c r="C1708" s="730" t="s">
        <v>287</v>
      </c>
      <c r="D1708" s="661"/>
      <c r="E1708" s="688"/>
      <c r="F1708" s="664" t="s">
        <v>286</v>
      </c>
      <c r="G1708" s="664">
        <v>1.2</v>
      </c>
      <c r="H1708" s="174">
        <f>VLOOKUP(C1708,'UPAH-BAHAN'!D:F,2,0)</f>
        <v>25000</v>
      </c>
      <c r="I1708" s="631">
        <f t="shared" ref="I1708:I1709" si="44">H1708*G1708</f>
        <v>30000</v>
      </c>
      <c r="J1708" s="273"/>
      <c r="K1708" s="154" t="e">
        <f>VLOOKUP(A1708,#REF!,1,0)</f>
        <v>#REF!</v>
      </c>
    </row>
    <row r="1709" spans="1:11" outlineLevel="1">
      <c r="B1709" s="659"/>
      <c r="C1709" s="660" t="s">
        <v>614</v>
      </c>
      <c r="D1709" s="661"/>
      <c r="E1709" s="688"/>
      <c r="F1709" s="664" t="s">
        <v>615</v>
      </c>
      <c r="G1709" s="664">
        <v>0.35</v>
      </c>
      <c r="H1709" s="174">
        <f>H1708</f>
        <v>25000</v>
      </c>
      <c r="I1709" s="631">
        <f t="shared" si="44"/>
        <v>8750</v>
      </c>
      <c r="J1709" s="273"/>
      <c r="K1709" s="154" t="e">
        <f>VLOOKUP(A1709,#REF!,1,0)</f>
        <v>#REF!</v>
      </c>
    </row>
    <row r="1710" spans="1:11" outlineLevel="1">
      <c r="B1710" s="659"/>
      <c r="C1710" s="660"/>
      <c r="D1710" s="661"/>
      <c r="E1710" s="688"/>
      <c r="F1710" s="662"/>
      <c r="G1710" s="660" t="s">
        <v>172</v>
      </c>
      <c r="H1710" s="666"/>
      <c r="I1710" s="666">
        <f>SUM(I1708:I1709)</f>
        <v>38750</v>
      </c>
      <c r="J1710" s="273"/>
      <c r="K1710" s="154" t="e">
        <f>VLOOKUP(A1710,#REF!,1,0)</f>
        <v>#REF!</v>
      </c>
    </row>
    <row r="1711" spans="1:11" outlineLevel="1">
      <c r="B1711" s="659" t="s">
        <v>157</v>
      </c>
      <c r="C1711" s="660" t="s">
        <v>158</v>
      </c>
      <c r="D1711" s="661"/>
      <c r="E1711" s="688"/>
      <c r="F1711" s="662"/>
      <c r="G1711" s="662"/>
      <c r="H1711" s="663"/>
      <c r="I1711" s="663"/>
      <c r="J1711" s="273"/>
      <c r="K1711" s="154" t="e">
        <f>VLOOKUP(A1711,#REF!,1,0)</f>
        <v>#REF!</v>
      </c>
    </row>
    <row r="1712" spans="1:11" outlineLevel="1">
      <c r="B1712" s="659"/>
      <c r="C1712" s="660"/>
      <c r="D1712" s="661"/>
      <c r="E1712" s="688"/>
      <c r="F1712" s="662"/>
      <c r="G1712" s="662"/>
      <c r="H1712" s="663"/>
      <c r="I1712" s="663"/>
      <c r="J1712" s="273"/>
      <c r="K1712" s="154" t="e">
        <f>VLOOKUP(A1712,#REF!,1,0)</f>
        <v>#REF!</v>
      </c>
    </row>
    <row r="1713" spans="1:11" outlineLevel="1">
      <c r="B1713" s="664"/>
      <c r="C1713" s="667"/>
      <c r="D1713" s="668"/>
      <c r="E1713" s="688"/>
      <c r="F1713" s="662"/>
      <c r="G1713" s="660" t="s">
        <v>159</v>
      </c>
      <c r="H1713" s="663"/>
      <c r="I1713" s="663">
        <f>I1712</f>
        <v>0</v>
      </c>
      <c r="J1713" s="273"/>
      <c r="K1713" s="154" t="e">
        <f>VLOOKUP(A1713,#REF!,1,0)</f>
        <v>#REF!</v>
      </c>
    </row>
    <row r="1714" spans="1:11" outlineLevel="1">
      <c r="B1714" s="662"/>
      <c r="C1714" s="669"/>
      <c r="D1714" s="670"/>
      <c r="E1714" s="688"/>
      <c r="F1714" s="662"/>
      <c r="G1714" s="662"/>
      <c r="H1714" s="663"/>
      <c r="I1714" s="663"/>
      <c r="J1714" s="273"/>
      <c r="K1714" s="154" t="e">
        <f>VLOOKUP(A1714,#REF!,1,0)</f>
        <v>#REF!</v>
      </c>
    </row>
    <row r="1715" spans="1:11" outlineLevel="1">
      <c r="B1715" s="659" t="s">
        <v>160</v>
      </c>
      <c r="C1715" s="660" t="s">
        <v>161</v>
      </c>
      <c r="D1715" s="661"/>
      <c r="E1715" s="673"/>
      <c r="F1715" s="663"/>
      <c r="G1715" s="663"/>
      <c r="H1715" s="663"/>
      <c r="I1715" s="666">
        <f>I1713+I1710+I1706</f>
        <v>61835</v>
      </c>
      <c r="J1715" s="273"/>
      <c r="K1715" s="154" t="e">
        <f>VLOOKUP(A1715,#REF!,1,0)</f>
        <v>#REF!</v>
      </c>
    </row>
    <row r="1716" spans="1:11" outlineLevel="1">
      <c r="B1716" s="659" t="s">
        <v>162</v>
      </c>
      <c r="C1716" s="660" t="s">
        <v>82</v>
      </c>
      <c r="D1716" s="661"/>
      <c r="E1716" s="752"/>
      <c r="F1716" s="671"/>
      <c r="G1716" s="672">
        <f>$J$3</f>
        <v>0.15</v>
      </c>
      <c r="H1716" s="673"/>
      <c r="I1716" s="674">
        <f>I1715*G1716</f>
        <v>9275.25</v>
      </c>
      <c r="J1716" s="273"/>
      <c r="K1716" s="154" t="e">
        <f>VLOOKUP(A1716,#REF!,1,0)</f>
        <v>#REF!</v>
      </c>
    </row>
    <row r="1717" spans="1:11" outlineLevel="1">
      <c r="B1717" s="659" t="s">
        <v>163</v>
      </c>
      <c r="C1717" s="660" t="s">
        <v>164</v>
      </c>
      <c r="D1717" s="661"/>
      <c r="E1717" s="673"/>
      <c r="F1717" s="663"/>
      <c r="G1717" s="663"/>
      <c r="H1717" s="663"/>
      <c r="I1717" s="666">
        <f>I1716+I1715</f>
        <v>71110.25</v>
      </c>
      <c r="J1717" s="273"/>
      <c r="K1717" s="154" t="e">
        <f>VLOOKUP(A1717,#REF!,1,0)</f>
        <v>#REF!</v>
      </c>
    </row>
    <row r="1718" spans="1:11" outlineLevel="1">
      <c r="B1718" s="184"/>
      <c r="D1718" s="186"/>
      <c r="E1718" s="186"/>
      <c r="F1718" s="280"/>
      <c r="G1718" s="280"/>
      <c r="H1718" s="280"/>
      <c r="I1718" s="331"/>
      <c r="J1718" s="273"/>
      <c r="K1718" s="154" t="e">
        <f>VLOOKUP(A1718,#REF!,1,0)</f>
        <v>#REF!</v>
      </c>
    </row>
    <row r="1719" spans="1:11">
      <c r="A1719" s="167" t="str">
        <f>B1719</f>
        <v>A.5.1.1 31.</v>
      </c>
      <c r="B1719" s="287" t="s">
        <v>766</v>
      </c>
      <c r="D1719" s="167" t="s">
        <v>767</v>
      </c>
      <c r="J1719" s="273">
        <f>I1737</f>
        <v>100818.58333333333</v>
      </c>
      <c r="K1719" s="154" t="e">
        <f>VLOOKUP(A1719,#REF!,1,0)</f>
        <v>#REF!</v>
      </c>
    </row>
    <row r="1720" spans="1:11" ht="31.2" outlineLevel="1">
      <c r="A1720" s="163"/>
      <c r="B1720" s="658" t="s">
        <v>75</v>
      </c>
      <c r="C1720" s="1249" t="s">
        <v>140</v>
      </c>
      <c r="D1720" s="1250"/>
      <c r="E1720" s="658" t="s">
        <v>141</v>
      </c>
      <c r="F1720" s="658" t="s">
        <v>142</v>
      </c>
      <c r="G1720" s="658" t="s">
        <v>143</v>
      </c>
      <c r="H1720" s="659" t="s">
        <v>144</v>
      </c>
      <c r="I1720" s="659" t="s">
        <v>145</v>
      </c>
      <c r="J1720" s="625"/>
      <c r="K1720" s="154" t="e">
        <f>VLOOKUP(A1720,#REF!,1,0)</f>
        <v>#REF!</v>
      </c>
    </row>
    <row r="1721" spans="1:11" outlineLevel="1">
      <c r="B1721" s="659" t="s">
        <v>146</v>
      </c>
      <c r="C1721" s="660" t="s">
        <v>147</v>
      </c>
      <c r="D1721" s="661"/>
      <c r="E1721" s="688"/>
      <c r="F1721" s="662"/>
      <c r="G1721" s="662"/>
      <c r="H1721" s="663"/>
      <c r="I1721" s="663"/>
      <c r="J1721" s="273"/>
      <c r="K1721" s="154" t="e">
        <f>VLOOKUP(A1721,#REF!,1,0)</f>
        <v>#REF!</v>
      </c>
    </row>
    <row r="1722" spans="1:11" outlineLevel="1">
      <c r="B1722" s="659"/>
      <c r="C1722" s="660" t="s">
        <v>77</v>
      </c>
      <c r="D1722" s="661"/>
      <c r="E1722" s="659" t="s">
        <v>148</v>
      </c>
      <c r="F1722" s="664" t="s">
        <v>76</v>
      </c>
      <c r="G1722" s="665">
        <v>5.3999999999999999E-2</v>
      </c>
      <c r="H1722" s="174">
        <f>VLOOKUP(C1722,'UPAH-BAHAN'!D:F,2,0)</f>
        <v>120000</v>
      </c>
      <c r="I1722" s="631">
        <f t="shared" ref="I1722:I1725" si="45">H1722*G1722</f>
        <v>6480</v>
      </c>
      <c r="J1722" s="273"/>
      <c r="K1722" s="154" t="e">
        <f>VLOOKUP(A1722,#REF!,1,0)</f>
        <v>#REF!</v>
      </c>
    </row>
    <row r="1723" spans="1:11" outlineLevel="1">
      <c r="B1723" s="659"/>
      <c r="C1723" s="660" t="s">
        <v>86</v>
      </c>
      <c r="D1723" s="661"/>
      <c r="E1723" s="659" t="s">
        <v>149</v>
      </c>
      <c r="F1723" s="664" t="s">
        <v>76</v>
      </c>
      <c r="G1723" s="664">
        <v>0.09</v>
      </c>
      <c r="H1723" s="174">
        <f>VLOOKUP(C1723,'UPAH-BAHAN'!D:F,2,0)</f>
        <v>160000</v>
      </c>
      <c r="I1723" s="631">
        <f t="shared" si="45"/>
        <v>14400</v>
      </c>
      <c r="J1723" s="273"/>
      <c r="K1723" s="154" t="e">
        <f>VLOOKUP(A1723,#REF!,1,0)</f>
        <v>#REF!</v>
      </c>
    </row>
    <row r="1724" spans="1:11" outlineLevel="1">
      <c r="B1724" s="659"/>
      <c r="C1724" s="660" t="s">
        <v>99</v>
      </c>
      <c r="D1724" s="661"/>
      <c r="E1724" s="659" t="s">
        <v>150</v>
      </c>
      <c r="F1724" s="664" t="s">
        <v>76</v>
      </c>
      <c r="G1724" s="664">
        <v>8.9999999999999993E-3</v>
      </c>
      <c r="H1724" s="174">
        <f>VLOOKUP(C1724,'UPAH-BAHAN'!D:F,2,0)</f>
        <v>170000</v>
      </c>
      <c r="I1724" s="631">
        <f t="shared" si="45"/>
        <v>1529.9999999999998</v>
      </c>
      <c r="J1724" s="273"/>
      <c r="K1724" s="154" t="e">
        <f>VLOOKUP(A1724,#REF!,1,0)</f>
        <v>#REF!</v>
      </c>
    </row>
    <row r="1725" spans="1:11" outlineLevel="1">
      <c r="B1725" s="659"/>
      <c r="C1725" s="660" t="s">
        <v>80</v>
      </c>
      <c r="D1725" s="661"/>
      <c r="E1725" s="659" t="s">
        <v>151</v>
      </c>
      <c r="F1725" s="664" t="s">
        <v>76</v>
      </c>
      <c r="G1725" s="664">
        <v>3.0000000000000001E-3</v>
      </c>
      <c r="H1725" s="174">
        <f>VLOOKUP(C1725,'UPAH-BAHAN'!D:F,2,0)</f>
        <v>225000</v>
      </c>
      <c r="I1725" s="631">
        <f t="shared" si="45"/>
        <v>675</v>
      </c>
      <c r="J1725" s="273"/>
      <c r="K1725" s="154" t="e">
        <f>VLOOKUP(A1725,#REF!,1,0)</f>
        <v>#REF!</v>
      </c>
    </row>
    <row r="1726" spans="1:11" outlineLevel="1">
      <c r="B1726" s="659"/>
      <c r="C1726" s="660"/>
      <c r="D1726" s="661"/>
      <c r="E1726" s="688"/>
      <c r="F1726" s="662"/>
      <c r="G1726" s="660" t="s">
        <v>171</v>
      </c>
      <c r="H1726" s="666"/>
      <c r="I1726" s="666">
        <f>SUM(I1722:I1725)</f>
        <v>23085</v>
      </c>
      <c r="J1726" s="273"/>
      <c r="K1726" s="154" t="e">
        <f>VLOOKUP(A1726,#REF!,1,0)</f>
        <v>#REF!</v>
      </c>
    </row>
    <row r="1727" spans="1:11" outlineLevel="1">
      <c r="B1727" s="659" t="s">
        <v>153</v>
      </c>
      <c r="C1727" s="660" t="s">
        <v>154</v>
      </c>
      <c r="D1727" s="661"/>
      <c r="E1727" s="688"/>
      <c r="F1727" s="662"/>
      <c r="G1727" s="662"/>
      <c r="H1727" s="666"/>
      <c r="I1727" s="666"/>
      <c r="J1727" s="273"/>
      <c r="K1727" s="154" t="e">
        <f>VLOOKUP(A1727,#REF!,1,0)</f>
        <v>#REF!</v>
      </c>
    </row>
    <row r="1728" spans="1:11" outlineLevel="1">
      <c r="B1728" s="659"/>
      <c r="C1728" s="730" t="s">
        <v>288</v>
      </c>
      <c r="D1728" s="661"/>
      <c r="E1728" s="688"/>
      <c r="F1728" s="664" t="s">
        <v>286</v>
      </c>
      <c r="G1728" s="664">
        <v>1.2</v>
      </c>
      <c r="H1728" s="174">
        <f>VLOOKUP(C1728,'UPAH-BAHAN'!D:F,2,0)</f>
        <v>41666.666666666664</v>
      </c>
      <c r="I1728" s="631">
        <f t="shared" ref="I1728" si="46">H1728*G1728</f>
        <v>49999.999999999993</v>
      </c>
      <c r="J1728" s="273"/>
      <c r="K1728" s="154" t="e">
        <f>VLOOKUP(A1728,#REF!,1,0)</f>
        <v>#REF!</v>
      </c>
    </row>
    <row r="1729" spans="1:12" outlineLevel="1">
      <c r="B1729" s="659"/>
      <c r="C1729" s="660" t="s">
        <v>614</v>
      </c>
      <c r="D1729" s="661"/>
      <c r="E1729" s="688"/>
      <c r="F1729" s="664" t="s">
        <v>615</v>
      </c>
      <c r="G1729" s="664">
        <v>0.35</v>
      </c>
      <c r="H1729" s="174">
        <f>H1728</f>
        <v>41666.666666666664</v>
      </c>
      <c r="I1729" s="631">
        <f>H1729*G1729</f>
        <v>14583.333333333332</v>
      </c>
      <c r="J1729" s="273"/>
      <c r="K1729" s="154" t="e">
        <f>VLOOKUP(A1729,#REF!,1,0)</f>
        <v>#REF!</v>
      </c>
    </row>
    <row r="1730" spans="1:12" outlineLevel="1">
      <c r="B1730" s="659"/>
      <c r="C1730" s="660"/>
      <c r="D1730" s="661"/>
      <c r="E1730" s="688"/>
      <c r="F1730" s="662"/>
      <c r="G1730" s="660" t="s">
        <v>172</v>
      </c>
      <c r="H1730" s="666"/>
      <c r="I1730" s="666">
        <f>SUM(I1728:I1729)</f>
        <v>64583.333333333328</v>
      </c>
      <c r="J1730" s="273"/>
      <c r="K1730" s="154" t="e">
        <f>VLOOKUP(A1730,#REF!,1,0)</f>
        <v>#REF!</v>
      </c>
    </row>
    <row r="1731" spans="1:12" outlineLevel="1">
      <c r="B1731" s="659" t="s">
        <v>157</v>
      </c>
      <c r="C1731" s="660" t="s">
        <v>158</v>
      </c>
      <c r="D1731" s="661"/>
      <c r="E1731" s="688"/>
      <c r="F1731" s="662"/>
      <c r="G1731" s="662"/>
      <c r="H1731" s="663"/>
      <c r="I1731" s="663"/>
      <c r="J1731" s="273"/>
      <c r="K1731" s="154" t="e">
        <f>VLOOKUP(A1731,#REF!,1,0)</f>
        <v>#REF!</v>
      </c>
    </row>
    <row r="1732" spans="1:12" outlineLevel="1">
      <c r="B1732" s="659"/>
      <c r="C1732" s="660"/>
      <c r="D1732" s="661"/>
      <c r="E1732" s="688"/>
      <c r="F1732" s="662"/>
      <c r="G1732" s="662"/>
      <c r="H1732" s="663"/>
      <c r="I1732" s="663"/>
      <c r="J1732" s="273"/>
      <c r="K1732" s="154" t="e">
        <f>VLOOKUP(A1732,#REF!,1,0)</f>
        <v>#REF!</v>
      </c>
    </row>
    <row r="1733" spans="1:12" outlineLevel="1">
      <c r="B1733" s="664"/>
      <c r="C1733" s="667"/>
      <c r="D1733" s="668"/>
      <c r="E1733" s="688"/>
      <c r="F1733" s="662"/>
      <c r="G1733" s="660" t="s">
        <v>159</v>
      </c>
      <c r="H1733" s="663"/>
      <c r="I1733" s="663">
        <f>I1732</f>
        <v>0</v>
      </c>
      <c r="J1733" s="273"/>
      <c r="K1733" s="154" t="e">
        <f>VLOOKUP(A1733,#REF!,1,0)</f>
        <v>#REF!</v>
      </c>
    </row>
    <row r="1734" spans="1:12" outlineLevel="1">
      <c r="B1734" s="662"/>
      <c r="C1734" s="669"/>
      <c r="D1734" s="670"/>
      <c r="E1734" s="688"/>
      <c r="F1734" s="662"/>
      <c r="G1734" s="662"/>
      <c r="H1734" s="663"/>
      <c r="I1734" s="663"/>
      <c r="J1734" s="273"/>
      <c r="K1734" s="154" t="e">
        <f>VLOOKUP(A1734,#REF!,1,0)</f>
        <v>#REF!</v>
      </c>
    </row>
    <row r="1735" spans="1:12" outlineLevel="1">
      <c r="B1735" s="659" t="s">
        <v>160</v>
      </c>
      <c r="C1735" s="660" t="s">
        <v>161</v>
      </c>
      <c r="D1735" s="661"/>
      <c r="E1735" s="673"/>
      <c r="F1735" s="663"/>
      <c r="G1735" s="663"/>
      <c r="H1735" s="663"/>
      <c r="I1735" s="666">
        <f>I1733+I1730+I1726</f>
        <v>87668.333333333328</v>
      </c>
      <c r="J1735" s="273"/>
      <c r="K1735" s="154" t="e">
        <f>VLOOKUP(A1735,#REF!,1,0)</f>
        <v>#REF!</v>
      </c>
    </row>
    <row r="1736" spans="1:12" outlineLevel="1">
      <c r="B1736" s="659" t="s">
        <v>162</v>
      </c>
      <c r="C1736" s="660" t="s">
        <v>82</v>
      </c>
      <c r="D1736" s="661"/>
      <c r="E1736" s="752"/>
      <c r="F1736" s="671"/>
      <c r="G1736" s="672">
        <f>$J$3</f>
        <v>0.15</v>
      </c>
      <c r="H1736" s="673"/>
      <c r="I1736" s="674">
        <f>I1735*G1736</f>
        <v>13150.249999999998</v>
      </c>
      <c r="J1736" s="273"/>
      <c r="K1736" s="154" t="e">
        <f>VLOOKUP(A1736,#REF!,1,0)</f>
        <v>#REF!</v>
      </c>
    </row>
    <row r="1737" spans="1:12" outlineLevel="1">
      <c r="B1737" s="659" t="s">
        <v>163</v>
      </c>
      <c r="C1737" s="660" t="s">
        <v>164</v>
      </c>
      <c r="D1737" s="661"/>
      <c r="E1737" s="673"/>
      <c r="F1737" s="663"/>
      <c r="G1737" s="663"/>
      <c r="H1737" s="663"/>
      <c r="I1737" s="666">
        <f>I1736+I1735</f>
        <v>100818.58333333333</v>
      </c>
      <c r="J1737" s="273"/>
      <c r="K1737" s="154" t="e">
        <f>VLOOKUP(A1737,#REF!,1,0)</f>
        <v>#REF!</v>
      </c>
    </row>
    <row r="1738" spans="1:12" collapsed="1">
      <c r="B1738" s="287"/>
      <c r="D1738" s="167"/>
      <c r="J1738" s="273"/>
    </row>
    <row r="1739" spans="1:12" ht="20.399999999999999">
      <c r="A1739" s="155"/>
      <c r="B1739" s="571" t="s">
        <v>350</v>
      </c>
      <c r="C1739" s="156"/>
      <c r="D1739" s="156"/>
      <c r="E1739" s="156"/>
      <c r="F1739" s="156"/>
      <c r="G1739" s="712"/>
      <c r="H1739" s="157"/>
      <c r="I1739" s="156"/>
      <c r="J1739" s="158"/>
    </row>
    <row r="1740" spans="1:12">
      <c r="A1740" s="159" t="str">
        <f>B1740</f>
        <v>Hit. BKR. 01</v>
      </c>
      <c r="B1740" s="159" t="s">
        <v>656</v>
      </c>
      <c r="C1740" s="160"/>
      <c r="D1740" s="159" t="s">
        <v>347</v>
      </c>
      <c r="E1740" s="159"/>
      <c r="F1740" s="159"/>
      <c r="G1740" s="159"/>
      <c r="H1740" s="161"/>
      <c r="I1740" s="160"/>
      <c r="J1740" s="162">
        <f>I1753</f>
        <v>10902</v>
      </c>
      <c r="L1740" s="154"/>
    </row>
    <row r="1741" spans="1:12" ht="31.2" outlineLevel="1">
      <c r="A1741" s="163"/>
      <c r="B1741" s="164" t="s">
        <v>75</v>
      </c>
      <c r="C1741" s="1254" t="s">
        <v>140</v>
      </c>
      <c r="D1741" s="1255"/>
      <c r="E1741" s="164" t="s">
        <v>141</v>
      </c>
      <c r="F1741" s="164" t="s">
        <v>142</v>
      </c>
      <c r="G1741" s="164" t="s">
        <v>143</v>
      </c>
      <c r="H1741" s="165" t="s">
        <v>144</v>
      </c>
      <c r="I1741" s="165" t="s">
        <v>145</v>
      </c>
      <c r="J1741" s="166"/>
      <c r="L1741" s="154"/>
    </row>
    <row r="1742" spans="1:12" outlineLevel="1">
      <c r="B1742" s="165" t="s">
        <v>146</v>
      </c>
      <c r="C1742" s="168" t="s">
        <v>147</v>
      </c>
      <c r="D1742" s="169"/>
      <c r="E1742" s="170"/>
      <c r="F1742" s="170"/>
      <c r="G1742" s="170"/>
      <c r="H1742" s="171"/>
      <c r="I1742" s="171"/>
      <c r="L1742" s="154"/>
    </row>
    <row r="1743" spans="1:12" outlineLevel="1">
      <c r="B1743" s="165"/>
      <c r="C1743" s="168" t="s">
        <v>77</v>
      </c>
      <c r="D1743" s="169"/>
      <c r="E1743" s="165" t="s">
        <v>148</v>
      </c>
      <c r="F1743" s="165" t="s">
        <v>76</v>
      </c>
      <c r="G1743" s="173">
        <v>7.4999999999999997E-2</v>
      </c>
      <c r="H1743" s="174">
        <f>VLOOKUP(C1743,'UPAH-BAHAN'!D:F,2,0)</f>
        <v>120000</v>
      </c>
      <c r="I1743" s="175">
        <f>G1743*H1743</f>
        <v>9000</v>
      </c>
      <c r="L1743" s="154"/>
    </row>
    <row r="1744" spans="1:12" outlineLevel="1">
      <c r="B1744" s="165"/>
      <c r="C1744" s="168" t="s">
        <v>106</v>
      </c>
      <c r="D1744" s="169"/>
      <c r="E1744" s="165" t="s">
        <v>149</v>
      </c>
      <c r="F1744" s="165" t="s">
        <v>76</v>
      </c>
      <c r="G1744" s="173">
        <v>3.0000000000000001E-3</v>
      </c>
      <c r="H1744" s="174">
        <f>VLOOKUP(C1744,'UPAH-BAHAN'!D:F,2,0)</f>
        <v>160000</v>
      </c>
      <c r="I1744" s="175">
        <f>G1744*H1744</f>
        <v>480</v>
      </c>
      <c r="L1744" s="154"/>
    </row>
    <row r="1745" spans="1:12" outlineLevel="1">
      <c r="B1745" s="165"/>
      <c r="C1745" s="176"/>
      <c r="D1745" s="169"/>
      <c r="E1745" s="170"/>
      <c r="F1745" s="170"/>
      <c r="G1745" s="168" t="s">
        <v>173</v>
      </c>
      <c r="H1745" s="177"/>
      <c r="I1745" s="175">
        <f>SUM(I1743:I1744)</f>
        <v>9480</v>
      </c>
      <c r="L1745" s="154"/>
    </row>
    <row r="1746" spans="1:12" outlineLevel="1">
      <c r="B1746" s="165" t="s">
        <v>153</v>
      </c>
      <c r="C1746" s="168" t="s">
        <v>154</v>
      </c>
      <c r="D1746" s="169"/>
      <c r="E1746" s="170"/>
      <c r="F1746" s="170"/>
      <c r="G1746" s="165"/>
      <c r="H1746" s="175"/>
      <c r="I1746" s="175"/>
      <c r="L1746" s="154"/>
    </row>
    <row r="1747" spans="1:12" outlineLevel="1">
      <c r="B1747" s="165"/>
      <c r="C1747" s="178"/>
      <c r="D1747" s="169"/>
      <c r="E1747" s="170"/>
      <c r="F1747" s="165"/>
      <c r="G1747" s="165"/>
      <c r="H1747" s="174"/>
      <c r="I1747" s="175"/>
      <c r="L1747" s="154"/>
    </row>
    <row r="1748" spans="1:12" outlineLevel="1">
      <c r="B1748" s="165"/>
      <c r="C1748" s="168"/>
      <c r="D1748" s="169"/>
      <c r="E1748" s="170"/>
      <c r="F1748" s="170"/>
      <c r="G1748" s="168" t="s">
        <v>172</v>
      </c>
      <c r="H1748" s="175"/>
      <c r="I1748" s="175">
        <f>SUM(I1747:I1747)</f>
        <v>0</v>
      </c>
      <c r="L1748" s="154"/>
    </row>
    <row r="1749" spans="1:12" outlineLevel="1">
      <c r="B1749" s="165" t="s">
        <v>157</v>
      </c>
      <c r="C1749" s="168" t="s">
        <v>158</v>
      </c>
      <c r="D1749" s="169"/>
      <c r="E1749" s="170"/>
      <c r="F1749" s="170"/>
      <c r="G1749" s="170"/>
      <c r="H1749" s="175"/>
      <c r="I1749" s="175"/>
      <c r="L1749" s="154"/>
    </row>
    <row r="1750" spans="1:12" outlineLevel="1">
      <c r="B1750" s="165"/>
      <c r="C1750" s="168"/>
      <c r="D1750" s="169"/>
      <c r="E1750" s="170"/>
      <c r="F1750" s="170"/>
      <c r="G1750" s="168" t="s">
        <v>159</v>
      </c>
      <c r="H1750" s="175"/>
      <c r="I1750" s="175">
        <v>0</v>
      </c>
      <c r="L1750" s="154"/>
    </row>
    <row r="1751" spans="1:12" outlineLevel="1">
      <c r="B1751" s="165" t="s">
        <v>160</v>
      </c>
      <c r="C1751" s="168" t="s">
        <v>161</v>
      </c>
      <c r="D1751" s="169"/>
      <c r="E1751" s="171"/>
      <c r="F1751" s="171"/>
      <c r="G1751" s="171"/>
      <c r="H1751" s="175"/>
      <c r="I1751" s="175">
        <f>I1750+I1748+I1745</f>
        <v>9480</v>
      </c>
      <c r="L1751" s="154"/>
    </row>
    <row r="1752" spans="1:12" outlineLevel="1">
      <c r="B1752" s="165" t="s">
        <v>162</v>
      </c>
      <c r="C1752" s="168" t="s">
        <v>82</v>
      </c>
      <c r="D1752" s="169"/>
      <c r="E1752" s="179"/>
      <c r="F1752" s="179"/>
      <c r="G1752" s="180">
        <f>$J$3</f>
        <v>0.15</v>
      </c>
      <c r="H1752" s="171"/>
      <c r="I1752" s="175">
        <f>I1751*G1752</f>
        <v>1422</v>
      </c>
      <c r="L1752" s="154"/>
    </row>
    <row r="1753" spans="1:12" outlineLevel="1">
      <c r="B1753" s="165" t="s">
        <v>163</v>
      </c>
      <c r="C1753" s="168" t="s">
        <v>164</v>
      </c>
      <c r="D1753" s="169"/>
      <c r="E1753" s="742"/>
      <c r="F1753" s="181"/>
      <c r="G1753" s="181"/>
      <c r="H1753" s="182"/>
      <c r="I1753" s="183">
        <f>I1751+I1752</f>
        <v>10902</v>
      </c>
      <c r="L1753" s="154"/>
    </row>
    <row r="1754" spans="1:12">
      <c r="B1754" s="184"/>
      <c r="D1754" s="186"/>
      <c r="E1754" s="186"/>
      <c r="F1754" s="186"/>
      <c r="G1754" s="186"/>
      <c r="H1754" s="186"/>
      <c r="I1754" s="187"/>
      <c r="L1754" s="154"/>
    </row>
    <row r="1755" spans="1:12" ht="20.399999999999999">
      <c r="A1755" s="155"/>
      <c r="B1755" s="571" t="s">
        <v>703</v>
      </c>
      <c r="C1755" s="156"/>
      <c r="D1755" s="156"/>
      <c r="E1755" s="156"/>
      <c r="F1755" s="156"/>
      <c r="G1755" s="712"/>
      <c r="H1755" s="157"/>
      <c r="I1755" s="156"/>
      <c r="J1755" s="158"/>
      <c r="K1755" s="154" t="e">
        <f>VLOOKUP(A1755,#REF!,1,0)</f>
        <v>#REF!</v>
      </c>
    </row>
    <row r="1756" spans="1:12">
      <c r="A1756" s="167" t="str">
        <f>B1756</f>
        <v>Hit.DRN.1.01</v>
      </c>
      <c r="B1756" s="287" t="s">
        <v>796</v>
      </c>
      <c r="D1756" s="167" t="s">
        <v>801</v>
      </c>
      <c r="J1756" s="273">
        <f>I1774</f>
        <v>350663.75</v>
      </c>
      <c r="K1756" s="154" t="e">
        <f>VLOOKUP(A1756,#REF!,1,0)</f>
        <v>#REF!</v>
      </c>
    </row>
    <row r="1757" spans="1:12" ht="31.2" outlineLevel="1">
      <c r="A1757" s="163"/>
      <c r="B1757" s="658" t="s">
        <v>75</v>
      </c>
      <c r="C1757" s="1249" t="s">
        <v>140</v>
      </c>
      <c r="D1757" s="1250"/>
      <c r="E1757" s="658" t="s">
        <v>141</v>
      </c>
      <c r="F1757" s="658" t="s">
        <v>142</v>
      </c>
      <c r="G1757" s="658" t="s">
        <v>143</v>
      </c>
      <c r="H1757" s="659" t="s">
        <v>144</v>
      </c>
      <c r="I1757" s="659" t="s">
        <v>145</v>
      </c>
      <c r="J1757" s="625"/>
      <c r="K1757" s="154" t="e">
        <f>VLOOKUP(A1757,#REF!,1,0)</f>
        <v>#REF!</v>
      </c>
    </row>
    <row r="1758" spans="1:12" outlineLevel="1">
      <c r="B1758" s="659" t="s">
        <v>146</v>
      </c>
      <c r="C1758" s="660" t="s">
        <v>147</v>
      </c>
      <c r="D1758" s="661"/>
      <c r="E1758" s="688"/>
      <c r="F1758" s="662"/>
      <c r="G1758" s="662"/>
      <c r="H1758" s="663"/>
      <c r="I1758" s="663"/>
      <c r="J1758" s="273"/>
      <c r="K1758" s="154" t="e">
        <f>VLOOKUP(A1758,#REF!,1,0)</f>
        <v>#REF!</v>
      </c>
    </row>
    <row r="1759" spans="1:12" outlineLevel="1">
      <c r="B1759" s="659"/>
      <c r="C1759" s="660" t="s">
        <v>77</v>
      </c>
      <c r="D1759" s="661"/>
      <c r="E1759" s="659" t="s">
        <v>148</v>
      </c>
      <c r="F1759" s="664" t="s">
        <v>76</v>
      </c>
      <c r="G1759" s="664">
        <v>0.1</v>
      </c>
      <c r="H1759" s="174">
        <f>VLOOKUP(C1759,'UPAH-BAHAN'!D:F,2,0)</f>
        <v>120000</v>
      </c>
      <c r="I1759" s="631">
        <f t="shared" ref="I1759:I1762" si="47">H1759*G1759</f>
        <v>12000</v>
      </c>
      <c r="J1759" s="273"/>
      <c r="K1759" s="154" t="e">
        <f>VLOOKUP(A1759,#REF!,1,0)</f>
        <v>#REF!</v>
      </c>
    </row>
    <row r="1760" spans="1:12" outlineLevel="1">
      <c r="B1760" s="659"/>
      <c r="C1760" s="660" t="s">
        <v>86</v>
      </c>
      <c r="D1760" s="661"/>
      <c r="E1760" s="659" t="s">
        <v>149</v>
      </c>
      <c r="F1760" s="664" t="s">
        <v>76</v>
      </c>
      <c r="G1760" s="664">
        <v>0.1</v>
      </c>
      <c r="H1760" s="174">
        <f>VLOOKUP(C1760,'UPAH-BAHAN'!D:F,2,0)</f>
        <v>160000</v>
      </c>
      <c r="I1760" s="631">
        <f t="shared" si="47"/>
        <v>16000</v>
      </c>
      <c r="J1760" s="273"/>
      <c r="K1760" s="154" t="e">
        <f>VLOOKUP(A1760,#REF!,1,0)</f>
        <v>#REF!</v>
      </c>
    </row>
    <row r="1761" spans="1:11" outlineLevel="1">
      <c r="B1761" s="659"/>
      <c r="C1761" s="660" t="s">
        <v>99</v>
      </c>
      <c r="D1761" s="661"/>
      <c r="E1761" s="659" t="s">
        <v>150</v>
      </c>
      <c r="F1761" s="664" t="s">
        <v>76</v>
      </c>
      <c r="G1761" s="664">
        <v>0.01</v>
      </c>
      <c r="H1761" s="174">
        <f>VLOOKUP(C1761,'UPAH-BAHAN'!D:F,2,0)</f>
        <v>170000</v>
      </c>
      <c r="I1761" s="631">
        <f t="shared" si="47"/>
        <v>1700</v>
      </c>
      <c r="J1761" s="273"/>
      <c r="K1761" s="154" t="e">
        <f>VLOOKUP(A1761,#REF!,1,0)</f>
        <v>#REF!</v>
      </c>
    </row>
    <row r="1762" spans="1:11" outlineLevel="1">
      <c r="B1762" s="659"/>
      <c r="C1762" s="660" t="s">
        <v>80</v>
      </c>
      <c r="D1762" s="661"/>
      <c r="E1762" s="659" t="s">
        <v>151</v>
      </c>
      <c r="F1762" s="664" t="s">
        <v>76</v>
      </c>
      <c r="G1762" s="664">
        <v>1E-3</v>
      </c>
      <c r="H1762" s="174">
        <f>VLOOKUP(C1762,'UPAH-BAHAN'!D:F,2,0)</f>
        <v>225000</v>
      </c>
      <c r="I1762" s="631">
        <f t="shared" si="47"/>
        <v>225</v>
      </c>
      <c r="J1762" s="273"/>
      <c r="K1762" s="154" t="e">
        <f>VLOOKUP(A1762,#REF!,1,0)</f>
        <v>#REF!</v>
      </c>
    </row>
    <row r="1763" spans="1:11" outlineLevel="1">
      <c r="B1763" s="659"/>
      <c r="C1763" s="660"/>
      <c r="D1763" s="661"/>
      <c r="E1763" s="688"/>
      <c r="F1763" s="662"/>
      <c r="G1763" s="660" t="s">
        <v>171</v>
      </c>
      <c r="H1763" s="666"/>
      <c r="I1763" s="666">
        <f>SUM(I1759:I1762)</f>
        <v>29925</v>
      </c>
      <c r="J1763" s="273"/>
      <c r="K1763" s="154" t="e">
        <f>VLOOKUP(A1763,#REF!,1,0)</f>
        <v>#REF!</v>
      </c>
    </row>
    <row r="1764" spans="1:11" outlineLevel="1">
      <c r="B1764" s="659" t="s">
        <v>153</v>
      </c>
      <c r="C1764" s="660" t="s">
        <v>154</v>
      </c>
      <c r="D1764" s="661"/>
      <c r="E1764" s="688"/>
      <c r="F1764" s="662"/>
      <c r="G1764" s="662"/>
      <c r="H1764" s="666"/>
      <c r="I1764" s="666"/>
      <c r="J1764" s="273"/>
      <c r="K1764" s="154" t="e">
        <f>VLOOKUP(A1764,#REF!,1,0)</f>
        <v>#REF!</v>
      </c>
    </row>
    <row r="1765" spans="1:11" outlineLevel="1">
      <c r="B1765" s="659"/>
      <c r="C1765" s="730" t="s">
        <v>867</v>
      </c>
      <c r="D1765" s="661"/>
      <c r="E1765" s="688"/>
      <c r="F1765" s="664" t="s">
        <v>286</v>
      </c>
      <c r="G1765" s="664">
        <v>1</v>
      </c>
      <c r="H1765" s="174">
        <f>VLOOKUP(C1765,'UPAH-BAHAN'!D:F,2,0)</f>
        <v>250000</v>
      </c>
      <c r="I1765" s="631">
        <f t="shared" ref="I1765:I1766" si="48">H1765*G1765</f>
        <v>250000</v>
      </c>
      <c r="J1765" s="273"/>
      <c r="K1765" s="154" t="e">
        <f>VLOOKUP(A1765,#REF!,1,0)</f>
        <v>#REF!</v>
      </c>
    </row>
    <row r="1766" spans="1:11" outlineLevel="1">
      <c r="B1766" s="659"/>
      <c r="C1766" s="660" t="s">
        <v>614</v>
      </c>
      <c r="D1766" s="661"/>
      <c r="E1766" s="688"/>
      <c r="F1766" s="664" t="s">
        <v>615</v>
      </c>
      <c r="G1766" s="664">
        <v>0.1</v>
      </c>
      <c r="H1766" s="174">
        <f>H1765</f>
        <v>250000</v>
      </c>
      <c r="I1766" s="631">
        <f t="shared" si="48"/>
        <v>25000</v>
      </c>
      <c r="J1766" s="273"/>
      <c r="K1766" s="154" t="e">
        <f>VLOOKUP(A1766,#REF!,1,0)</f>
        <v>#REF!</v>
      </c>
    </row>
    <row r="1767" spans="1:11" outlineLevel="1">
      <c r="B1767" s="659"/>
      <c r="C1767" s="660"/>
      <c r="D1767" s="661"/>
      <c r="E1767" s="688"/>
      <c r="F1767" s="662"/>
      <c r="G1767" s="660" t="s">
        <v>172</v>
      </c>
      <c r="H1767" s="666"/>
      <c r="I1767" s="666">
        <f>SUM(I1765:I1766)</f>
        <v>275000</v>
      </c>
      <c r="J1767" s="273"/>
      <c r="K1767" s="154" t="e">
        <f>VLOOKUP(A1767,#REF!,1,0)</f>
        <v>#REF!</v>
      </c>
    </row>
    <row r="1768" spans="1:11" outlineLevel="1">
      <c r="B1768" s="659" t="s">
        <v>157</v>
      </c>
      <c r="C1768" s="660" t="s">
        <v>158</v>
      </c>
      <c r="D1768" s="661"/>
      <c r="E1768" s="688"/>
      <c r="F1768" s="662"/>
      <c r="G1768" s="662"/>
      <c r="H1768" s="663"/>
      <c r="I1768" s="663"/>
      <c r="J1768" s="273"/>
      <c r="K1768" s="154" t="e">
        <f>VLOOKUP(A1768,#REF!,1,0)</f>
        <v>#REF!</v>
      </c>
    </row>
    <row r="1769" spans="1:11" outlineLevel="1">
      <c r="B1769" s="659"/>
      <c r="C1769" s="660"/>
      <c r="D1769" s="661"/>
      <c r="E1769" s="688"/>
      <c r="F1769" s="662"/>
      <c r="G1769" s="662"/>
      <c r="H1769" s="663"/>
      <c r="I1769" s="663"/>
      <c r="J1769" s="273"/>
      <c r="K1769" s="154" t="e">
        <f>VLOOKUP(A1769,#REF!,1,0)</f>
        <v>#REF!</v>
      </c>
    </row>
    <row r="1770" spans="1:11" outlineLevel="1">
      <c r="B1770" s="664"/>
      <c r="C1770" s="667"/>
      <c r="D1770" s="668"/>
      <c r="E1770" s="688"/>
      <c r="F1770" s="662"/>
      <c r="G1770" s="660" t="s">
        <v>159</v>
      </c>
      <c r="H1770" s="663"/>
      <c r="I1770" s="663">
        <f>I1769</f>
        <v>0</v>
      </c>
      <c r="J1770" s="273"/>
      <c r="K1770" s="154" t="e">
        <f>VLOOKUP(A1770,#REF!,1,0)</f>
        <v>#REF!</v>
      </c>
    </row>
    <row r="1771" spans="1:11" outlineLevel="1">
      <c r="B1771" s="662"/>
      <c r="C1771" s="669"/>
      <c r="D1771" s="670"/>
      <c r="E1771" s="688"/>
      <c r="F1771" s="662"/>
      <c r="G1771" s="662"/>
      <c r="H1771" s="663"/>
      <c r="I1771" s="663"/>
      <c r="J1771" s="273"/>
      <c r="K1771" s="154" t="e">
        <f>VLOOKUP(A1771,#REF!,1,0)</f>
        <v>#REF!</v>
      </c>
    </row>
    <row r="1772" spans="1:11" outlineLevel="1">
      <c r="B1772" s="659" t="s">
        <v>160</v>
      </c>
      <c r="C1772" s="660" t="s">
        <v>161</v>
      </c>
      <c r="D1772" s="661"/>
      <c r="E1772" s="673"/>
      <c r="F1772" s="663"/>
      <c r="G1772" s="663"/>
      <c r="H1772" s="663"/>
      <c r="I1772" s="666">
        <f>I1770+I1767+I1763</f>
        <v>304925</v>
      </c>
      <c r="J1772" s="273"/>
      <c r="K1772" s="154" t="e">
        <f>VLOOKUP(A1772,#REF!,1,0)</f>
        <v>#REF!</v>
      </c>
    </row>
    <row r="1773" spans="1:11" outlineLevel="1">
      <c r="B1773" s="659" t="s">
        <v>162</v>
      </c>
      <c r="C1773" s="660" t="s">
        <v>82</v>
      </c>
      <c r="D1773" s="661"/>
      <c r="E1773" s="752"/>
      <c r="F1773" s="671"/>
      <c r="G1773" s="672">
        <f>$J$3</f>
        <v>0.15</v>
      </c>
      <c r="H1773" s="673"/>
      <c r="I1773" s="674">
        <f>I1772*G1773</f>
        <v>45738.75</v>
      </c>
      <c r="J1773" s="273"/>
      <c r="K1773" s="154" t="e">
        <f>VLOOKUP(A1773,#REF!,1,0)</f>
        <v>#REF!</v>
      </c>
    </row>
    <row r="1774" spans="1:11" outlineLevel="1">
      <c r="B1774" s="659" t="s">
        <v>163</v>
      </c>
      <c r="C1774" s="660" t="s">
        <v>164</v>
      </c>
      <c r="D1774" s="661"/>
      <c r="E1774" s="673"/>
      <c r="F1774" s="663"/>
      <c r="G1774" s="663"/>
      <c r="H1774" s="663"/>
      <c r="I1774" s="666">
        <f>I1773+I1772</f>
        <v>350663.75</v>
      </c>
      <c r="J1774" s="273"/>
      <c r="K1774" s="154" t="e">
        <f>VLOOKUP(A1774,#REF!,1,0)</f>
        <v>#REF!</v>
      </c>
    </row>
    <row r="1775" spans="1:11" outlineLevel="1">
      <c r="B1775" s="184"/>
      <c r="D1775" s="186"/>
      <c r="E1775" s="186"/>
      <c r="F1775" s="280"/>
      <c r="G1775" s="280"/>
      <c r="H1775" s="280"/>
      <c r="I1775" s="331"/>
      <c r="J1775" s="273"/>
      <c r="K1775" s="154" t="e">
        <f>VLOOKUP(A1775,#REF!,1,0)</f>
        <v>#REF!</v>
      </c>
    </row>
    <row r="1776" spans="1:11">
      <c r="A1776" s="167" t="str">
        <f>B1776</f>
        <v>Hit.DRN.1.02</v>
      </c>
      <c r="B1776" s="287" t="s">
        <v>945</v>
      </c>
      <c r="D1776" s="167" t="s">
        <v>946</v>
      </c>
      <c r="J1776" s="273">
        <f>I1794</f>
        <v>224163.75</v>
      </c>
      <c r="K1776" s="154" t="e">
        <f>VLOOKUP(A1776,#REF!,1,0)</f>
        <v>#REF!</v>
      </c>
    </row>
    <row r="1777" spans="1:11" ht="31.2" outlineLevel="1">
      <c r="A1777" s="163"/>
      <c r="B1777" s="658" t="s">
        <v>75</v>
      </c>
      <c r="C1777" s="1249" t="s">
        <v>140</v>
      </c>
      <c r="D1777" s="1250"/>
      <c r="E1777" s="658" t="s">
        <v>141</v>
      </c>
      <c r="F1777" s="658" t="s">
        <v>142</v>
      </c>
      <c r="G1777" s="658" t="s">
        <v>143</v>
      </c>
      <c r="H1777" s="659" t="s">
        <v>144</v>
      </c>
      <c r="I1777" s="659" t="s">
        <v>145</v>
      </c>
      <c r="J1777" s="625"/>
      <c r="K1777" s="154" t="e">
        <f>VLOOKUP(A1777,#REF!,1,0)</f>
        <v>#REF!</v>
      </c>
    </row>
    <row r="1778" spans="1:11" outlineLevel="1">
      <c r="B1778" s="659" t="s">
        <v>146</v>
      </c>
      <c r="C1778" s="660" t="s">
        <v>147</v>
      </c>
      <c r="D1778" s="661"/>
      <c r="E1778" s="688"/>
      <c r="F1778" s="662"/>
      <c r="G1778" s="662"/>
      <c r="H1778" s="663"/>
      <c r="I1778" s="663"/>
      <c r="J1778" s="273"/>
      <c r="K1778" s="154" t="e">
        <f>VLOOKUP(A1778,#REF!,1,0)</f>
        <v>#REF!</v>
      </c>
    </row>
    <row r="1779" spans="1:11" outlineLevel="1">
      <c r="B1779" s="659"/>
      <c r="C1779" s="660" t="s">
        <v>77</v>
      </c>
      <c r="D1779" s="661"/>
      <c r="E1779" s="659" t="s">
        <v>148</v>
      </c>
      <c r="F1779" s="664" t="s">
        <v>76</v>
      </c>
      <c r="G1779" s="664">
        <v>0.1</v>
      </c>
      <c r="H1779" s="174">
        <f>VLOOKUP(C1779,'UPAH-BAHAN'!D:F,2,0)</f>
        <v>120000</v>
      </c>
      <c r="I1779" s="631">
        <f t="shared" ref="I1779:I1782" si="49">H1779*G1779</f>
        <v>12000</v>
      </c>
      <c r="J1779" s="273"/>
      <c r="K1779" s="154" t="e">
        <f>VLOOKUP(A1779,#REF!,1,0)</f>
        <v>#REF!</v>
      </c>
    </row>
    <row r="1780" spans="1:11" outlineLevel="1">
      <c r="B1780" s="659"/>
      <c r="C1780" s="660" t="s">
        <v>86</v>
      </c>
      <c r="D1780" s="661"/>
      <c r="E1780" s="659" t="s">
        <v>149</v>
      </c>
      <c r="F1780" s="664" t="s">
        <v>76</v>
      </c>
      <c r="G1780" s="664">
        <v>0.1</v>
      </c>
      <c r="H1780" s="174">
        <f>VLOOKUP(C1780,'UPAH-BAHAN'!D:F,2,0)</f>
        <v>160000</v>
      </c>
      <c r="I1780" s="631">
        <f t="shared" si="49"/>
        <v>16000</v>
      </c>
      <c r="J1780" s="273"/>
      <c r="K1780" s="154" t="e">
        <f>VLOOKUP(A1780,#REF!,1,0)</f>
        <v>#REF!</v>
      </c>
    </row>
    <row r="1781" spans="1:11" outlineLevel="1">
      <c r="B1781" s="659"/>
      <c r="C1781" s="660" t="s">
        <v>99</v>
      </c>
      <c r="D1781" s="661"/>
      <c r="E1781" s="659" t="s">
        <v>150</v>
      </c>
      <c r="F1781" s="664" t="s">
        <v>76</v>
      </c>
      <c r="G1781" s="664">
        <v>0.01</v>
      </c>
      <c r="H1781" s="174">
        <f>VLOOKUP(C1781,'UPAH-BAHAN'!D:F,2,0)</f>
        <v>170000</v>
      </c>
      <c r="I1781" s="631">
        <f t="shared" si="49"/>
        <v>1700</v>
      </c>
      <c r="J1781" s="273"/>
      <c r="K1781" s="154" t="e">
        <f>VLOOKUP(A1781,#REF!,1,0)</f>
        <v>#REF!</v>
      </c>
    </row>
    <row r="1782" spans="1:11" outlineLevel="1">
      <c r="B1782" s="659"/>
      <c r="C1782" s="660" t="s">
        <v>80</v>
      </c>
      <c r="D1782" s="661"/>
      <c r="E1782" s="659" t="s">
        <v>151</v>
      </c>
      <c r="F1782" s="664" t="s">
        <v>76</v>
      </c>
      <c r="G1782" s="664">
        <v>1E-3</v>
      </c>
      <c r="H1782" s="174">
        <f>VLOOKUP(C1782,'UPAH-BAHAN'!D:F,2,0)</f>
        <v>225000</v>
      </c>
      <c r="I1782" s="631">
        <f t="shared" si="49"/>
        <v>225</v>
      </c>
      <c r="J1782" s="273"/>
      <c r="K1782" s="154" t="e">
        <f>VLOOKUP(A1782,#REF!,1,0)</f>
        <v>#REF!</v>
      </c>
    </row>
    <row r="1783" spans="1:11" outlineLevel="1">
      <c r="B1783" s="659"/>
      <c r="C1783" s="660"/>
      <c r="D1783" s="661"/>
      <c r="E1783" s="688"/>
      <c r="F1783" s="662"/>
      <c r="G1783" s="660" t="s">
        <v>171</v>
      </c>
      <c r="H1783" s="666"/>
      <c r="I1783" s="666">
        <f>SUM(I1779:I1782)</f>
        <v>29925</v>
      </c>
      <c r="J1783" s="273"/>
      <c r="K1783" s="154" t="e">
        <f>VLOOKUP(A1783,#REF!,1,0)</f>
        <v>#REF!</v>
      </c>
    </row>
    <row r="1784" spans="1:11" outlineLevel="1">
      <c r="B1784" s="659" t="s">
        <v>153</v>
      </c>
      <c r="C1784" s="660" t="s">
        <v>154</v>
      </c>
      <c r="D1784" s="661"/>
      <c r="E1784" s="688"/>
      <c r="F1784" s="662"/>
      <c r="G1784" s="662"/>
      <c r="H1784" s="666"/>
      <c r="I1784" s="666"/>
      <c r="J1784" s="273"/>
      <c r="K1784" s="154" t="e">
        <f>VLOOKUP(A1784,#REF!,1,0)</f>
        <v>#REF!</v>
      </c>
    </row>
    <row r="1785" spans="1:11" outlineLevel="1">
      <c r="B1785" s="659"/>
      <c r="C1785" s="730" t="s">
        <v>947</v>
      </c>
      <c r="D1785" s="661"/>
      <c r="E1785" s="688"/>
      <c r="F1785" s="664" t="s">
        <v>286</v>
      </c>
      <c r="G1785" s="664">
        <v>1</v>
      </c>
      <c r="H1785" s="174">
        <f>VLOOKUP(C1785,'UPAH-BAHAN'!D:F,2,0)</f>
        <v>150000</v>
      </c>
      <c r="I1785" s="631">
        <f t="shared" ref="I1785:I1786" si="50">H1785*G1785</f>
        <v>150000</v>
      </c>
      <c r="J1785" s="273"/>
      <c r="K1785" s="154" t="e">
        <f>VLOOKUP(A1785,#REF!,1,0)</f>
        <v>#REF!</v>
      </c>
    </row>
    <row r="1786" spans="1:11" outlineLevel="1">
      <c r="B1786" s="659"/>
      <c r="C1786" s="660" t="s">
        <v>614</v>
      </c>
      <c r="D1786" s="661"/>
      <c r="E1786" s="688"/>
      <c r="F1786" s="664" t="s">
        <v>615</v>
      </c>
      <c r="G1786" s="664">
        <v>0.1</v>
      </c>
      <c r="H1786" s="174">
        <f>H1785</f>
        <v>150000</v>
      </c>
      <c r="I1786" s="631">
        <f t="shared" si="50"/>
        <v>15000</v>
      </c>
      <c r="J1786" s="273"/>
      <c r="K1786" s="154" t="e">
        <f>VLOOKUP(A1786,#REF!,1,0)</f>
        <v>#REF!</v>
      </c>
    </row>
    <row r="1787" spans="1:11" outlineLevel="1">
      <c r="B1787" s="659"/>
      <c r="C1787" s="660"/>
      <c r="D1787" s="661"/>
      <c r="E1787" s="688"/>
      <c r="F1787" s="662"/>
      <c r="G1787" s="660" t="s">
        <v>172</v>
      </c>
      <c r="H1787" s="666"/>
      <c r="I1787" s="666">
        <f>SUM(I1785:I1786)</f>
        <v>165000</v>
      </c>
      <c r="J1787" s="273"/>
      <c r="K1787" s="154" t="e">
        <f>VLOOKUP(A1787,#REF!,1,0)</f>
        <v>#REF!</v>
      </c>
    </row>
    <row r="1788" spans="1:11" outlineLevel="1">
      <c r="B1788" s="659" t="s">
        <v>157</v>
      </c>
      <c r="C1788" s="660" t="s">
        <v>158</v>
      </c>
      <c r="D1788" s="661"/>
      <c r="E1788" s="688"/>
      <c r="F1788" s="662"/>
      <c r="G1788" s="662"/>
      <c r="H1788" s="663"/>
      <c r="I1788" s="663"/>
      <c r="J1788" s="273"/>
      <c r="K1788" s="154" t="e">
        <f>VLOOKUP(A1788,#REF!,1,0)</f>
        <v>#REF!</v>
      </c>
    </row>
    <row r="1789" spans="1:11" outlineLevel="1">
      <c r="B1789" s="659"/>
      <c r="C1789" s="660"/>
      <c r="D1789" s="661"/>
      <c r="E1789" s="688"/>
      <c r="F1789" s="662"/>
      <c r="G1789" s="662"/>
      <c r="H1789" s="663"/>
      <c r="I1789" s="663"/>
      <c r="J1789" s="273"/>
      <c r="K1789" s="154" t="e">
        <f>VLOOKUP(A1789,#REF!,1,0)</f>
        <v>#REF!</v>
      </c>
    </row>
    <row r="1790" spans="1:11" outlineLevel="1">
      <c r="B1790" s="664"/>
      <c r="C1790" s="667"/>
      <c r="D1790" s="668"/>
      <c r="E1790" s="688"/>
      <c r="F1790" s="662"/>
      <c r="G1790" s="660" t="s">
        <v>159</v>
      </c>
      <c r="H1790" s="663"/>
      <c r="I1790" s="663">
        <f>I1789</f>
        <v>0</v>
      </c>
      <c r="J1790" s="273"/>
      <c r="K1790" s="154" t="e">
        <f>VLOOKUP(A1790,#REF!,1,0)</f>
        <v>#REF!</v>
      </c>
    </row>
    <row r="1791" spans="1:11" outlineLevel="1">
      <c r="B1791" s="662"/>
      <c r="C1791" s="669"/>
      <c r="D1791" s="670"/>
      <c r="E1791" s="688"/>
      <c r="F1791" s="662"/>
      <c r="G1791" s="662"/>
      <c r="H1791" s="663"/>
      <c r="I1791" s="663"/>
      <c r="J1791" s="273"/>
      <c r="K1791" s="154" t="e">
        <f>VLOOKUP(A1791,#REF!,1,0)</f>
        <v>#REF!</v>
      </c>
    </row>
    <row r="1792" spans="1:11" outlineLevel="1">
      <c r="B1792" s="659" t="s">
        <v>160</v>
      </c>
      <c r="C1792" s="660" t="s">
        <v>161</v>
      </c>
      <c r="D1792" s="661"/>
      <c r="E1792" s="673"/>
      <c r="F1792" s="663"/>
      <c r="G1792" s="663"/>
      <c r="H1792" s="663"/>
      <c r="I1792" s="666">
        <f>I1790+I1787+I1783</f>
        <v>194925</v>
      </c>
      <c r="J1792" s="273"/>
      <c r="K1792" s="154" t="e">
        <f>VLOOKUP(A1792,#REF!,1,0)</f>
        <v>#REF!</v>
      </c>
    </row>
    <row r="1793" spans="1:12" outlineLevel="1">
      <c r="B1793" s="659" t="s">
        <v>162</v>
      </c>
      <c r="C1793" s="660" t="s">
        <v>82</v>
      </c>
      <c r="D1793" s="661"/>
      <c r="E1793" s="752"/>
      <c r="F1793" s="671"/>
      <c r="G1793" s="672">
        <f>$J$3</f>
        <v>0.15</v>
      </c>
      <c r="H1793" s="673"/>
      <c r="I1793" s="674">
        <f>I1792*G1793</f>
        <v>29238.75</v>
      </c>
      <c r="J1793" s="273"/>
      <c r="K1793" s="154" t="e">
        <f>VLOOKUP(A1793,#REF!,1,0)</f>
        <v>#REF!</v>
      </c>
    </row>
    <row r="1794" spans="1:12" outlineLevel="1">
      <c r="B1794" s="659" t="s">
        <v>163</v>
      </c>
      <c r="C1794" s="660" t="s">
        <v>164</v>
      </c>
      <c r="D1794" s="661"/>
      <c r="E1794" s="673"/>
      <c r="F1794" s="663"/>
      <c r="G1794" s="663"/>
      <c r="H1794" s="663"/>
      <c r="I1794" s="666">
        <f>I1793+I1792</f>
        <v>224163.75</v>
      </c>
      <c r="J1794" s="273"/>
      <c r="K1794" s="154" t="e">
        <f>VLOOKUP(A1794,#REF!,1,0)</f>
        <v>#REF!</v>
      </c>
    </row>
    <row r="1795" spans="1:12" outlineLevel="1">
      <c r="B1795" s="184"/>
      <c r="D1795" s="186"/>
      <c r="E1795" s="186"/>
      <c r="F1795" s="280"/>
      <c r="G1795" s="280"/>
      <c r="H1795" s="280"/>
      <c r="I1795" s="331"/>
      <c r="J1795" s="273"/>
      <c r="K1795" s="154" t="e">
        <f>VLOOKUP(A1795,#REF!,1,0)</f>
        <v>#REF!</v>
      </c>
    </row>
    <row r="1796" spans="1:12">
      <c r="A1796" s="167" t="str">
        <f>B1796</f>
        <v>Hit.DRN.2.01</v>
      </c>
      <c r="B1796" s="287" t="s">
        <v>797</v>
      </c>
      <c r="D1796" s="167" t="s">
        <v>704</v>
      </c>
      <c r="J1796" s="273">
        <f>I1814</f>
        <v>948428</v>
      </c>
      <c r="K1796" s="154" t="e">
        <f>VLOOKUP(A1796,#REF!,1,0)</f>
        <v>#REF!</v>
      </c>
    </row>
    <row r="1797" spans="1:12" ht="31.2" outlineLevel="1">
      <c r="A1797" s="163"/>
      <c r="B1797" s="658" t="s">
        <v>75</v>
      </c>
      <c r="C1797" s="1249" t="s">
        <v>140</v>
      </c>
      <c r="D1797" s="1250"/>
      <c r="E1797" s="658" t="s">
        <v>141</v>
      </c>
      <c r="F1797" s="658" t="s">
        <v>142</v>
      </c>
      <c r="G1797" s="658" t="s">
        <v>143</v>
      </c>
      <c r="H1797" s="659" t="s">
        <v>144</v>
      </c>
      <c r="I1797" s="659" t="s">
        <v>145</v>
      </c>
      <c r="J1797" s="625"/>
      <c r="K1797" s="154" t="e">
        <f>VLOOKUP(A1797,#REF!,1,0)</f>
        <v>#REF!</v>
      </c>
    </row>
    <row r="1798" spans="1:12" outlineLevel="1">
      <c r="B1798" s="659" t="s">
        <v>146</v>
      </c>
      <c r="C1798" s="660" t="s">
        <v>147</v>
      </c>
      <c r="D1798" s="661"/>
      <c r="E1798" s="688"/>
      <c r="F1798" s="662"/>
      <c r="G1798" s="662"/>
      <c r="H1798" s="663"/>
      <c r="I1798" s="663"/>
      <c r="J1798" s="273"/>
      <c r="K1798" s="154" t="e">
        <f>VLOOKUP(A1798,#REF!,1,0)</f>
        <v>#REF!</v>
      </c>
    </row>
    <row r="1799" spans="1:12" outlineLevel="1">
      <c r="B1799" s="659"/>
      <c r="C1799" s="660" t="s">
        <v>77</v>
      </c>
      <c r="D1799" s="661"/>
      <c r="E1799" s="659" t="s">
        <v>148</v>
      </c>
      <c r="F1799" s="664" t="s">
        <v>76</v>
      </c>
      <c r="G1799" s="664">
        <v>0.5</v>
      </c>
      <c r="H1799" s="174">
        <f>VLOOKUP(C1799,'UPAH-BAHAN'!D:F,2,0)</f>
        <v>120000</v>
      </c>
      <c r="I1799" s="631">
        <f t="shared" ref="I1799:I1802" si="51">H1799*G1799</f>
        <v>60000</v>
      </c>
      <c r="J1799" s="273"/>
      <c r="K1799" s="154" t="e">
        <f>VLOOKUP(A1799,#REF!,1,0)</f>
        <v>#REF!</v>
      </c>
    </row>
    <row r="1800" spans="1:12" outlineLevel="1">
      <c r="B1800" s="659"/>
      <c r="C1800" s="660" t="s">
        <v>86</v>
      </c>
      <c r="D1800" s="661"/>
      <c r="E1800" s="659" t="s">
        <v>149</v>
      </c>
      <c r="F1800" s="664" t="s">
        <v>76</v>
      </c>
      <c r="G1800" s="664">
        <v>0.5</v>
      </c>
      <c r="H1800" s="174">
        <f>VLOOKUP(C1800,'UPAH-BAHAN'!D:F,2,0)</f>
        <v>160000</v>
      </c>
      <c r="I1800" s="631">
        <f t="shared" si="51"/>
        <v>80000</v>
      </c>
      <c r="J1800" s="273"/>
      <c r="K1800" s="154" t="e">
        <f>VLOOKUP(A1800,#REF!,1,0)</f>
        <v>#REF!</v>
      </c>
    </row>
    <row r="1801" spans="1:12" outlineLevel="1">
      <c r="B1801" s="659"/>
      <c r="C1801" s="660" t="s">
        <v>99</v>
      </c>
      <c r="D1801" s="661"/>
      <c r="E1801" s="659" t="s">
        <v>150</v>
      </c>
      <c r="F1801" s="664" t="s">
        <v>76</v>
      </c>
      <c r="G1801" s="664">
        <v>0.05</v>
      </c>
      <c r="H1801" s="174">
        <f>VLOOKUP(C1801,'UPAH-BAHAN'!D:F,2,0)</f>
        <v>170000</v>
      </c>
      <c r="I1801" s="631">
        <f t="shared" si="51"/>
        <v>8500</v>
      </c>
      <c r="J1801" s="273"/>
      <c r="K1801" s="154" t="e">
        <f>VLOOKUP(A1801,#REF!,1,0)</f>
        <v>#REF!</v>
      </c>
    </row>
    <row r="1802" spans="1:12" outlineLevel="1">
      <c r="B1802" s="659"/>
      <c r="C1802" s="660" t="s">
        <v>80</v>
      </c>
      <c r="D1802" s="661"/>
      <c r="E1802" s="659" t="s">
        <v>151</v>
      </c>
      <c r="F1802" s="664" t="s">
        <v>76</v>
      </c>
      <c r="G1802" s="664">
        <v>0.01</v>
      </c>
      <c r="H1802" s="174">
        <f>VLOOKUP(C1802,'UPAH-BAHAN'!D:F,2,0)</f>
        <v>225000</v>
      </c>
      <c r="I1802" s="631">
        <f t="shared" si="51"/>
        <v>2250</v>
      </c>
      <c r="J1802" s="273"/>
      <c r="K1802" s="154" t="e">
        <f>VLOOKUP(A1802,#REF!,1,0)</f>
        <v>#REF!</v>
      </c>
    </row>
    <row r="1803" spans="1:12" outlineLevel="1">
      <c r="B1803" s="659"/>
      <c r="C1803" s="660"/>
      <c r="D1803" s="661"/>
      <c r="E1803" s="688"/>
      <c r="F1803" s="662"/>
      <c r="G1803" s="660" t="s">
        <v>171</v>
      </c>
      <c r="H1803" s="666"/>
      <c r="I1803" s="666">
        <f>SUM(I1799:I1802)</f>
        <v>150750</v>
      </c>
      <c r="J1803" s="273"/>
      <c r="K1803" s="154" t="e">
        <f>VLOOKUP(A1803,#REF!,1,0)</f>
        <v>#REF!</v>
      </c>
    </row>
    <row r="1804" spans="1:12" outlineLevel="1">
      <c r="B1804" s="659" t="s">
        <v>153</v>
      </c>
      <c r="C1804" s="660" t="s">
        <v>154</v>
      </c>
      <c r="D1804" s="661"/>
      <c r="E1804" s="688"/>
      <c r="F1804" s="662"/>
      <c r="G1804" s="662"/>
      <c r="H1804" s="666"/>
      <c r="I1804" s="666"/>
      <c r="J1804" s="273"/>
      <c r="K1804" s="154" t="e">
        <f>VLOOKUP(A1804,#REF!,1,0)</f>
        <v>#REF!</v>
      </c>
    </row>
    <row r="1805" spans="1:12" outlineLevel="1">
      <c r="B1805" s="659"/>
      <c r="C1805" s="730" t="s">
        <v>868</v>
      </c>
      <c r="D1805" s="661"/>
      <c r="E1805" s="688"/>
      <c r="F1805" s="664" t="s">
        <v>23</v>
      </c>
      <c r="G1805" s="664">
        <v>1</v>
      </c>
      <c r="H1805" s="174">
        <f>VLOOKUP(C1805,'UPAH-BAHAN'!D:F,2,0)</f>
        <v>612700</v>
      </c>
      <c r="I1805" s="631">
        <f t="shared" ref="I1805:I1806" si="52">H1805*G1805</f>
        <v>612700</v>
      </c>
      <c r="J1805" s="273"/>
      <c r="K1805" s="154" t="e">
        <f>VLOOKUP(A1805,#REF!,1,0)</f>
        <v>#REF!</v>
      </c>
      <c r="L1805" s="760">
        <f>0.3*0.5</f>
        <v>0.15</v>
      </c>
    </row>
    <row r="1806" spans="1:12" outlineLevel="1">
      <c r="B1806" s="659"/>
      <c r="C1806" s="660" t="s">
        <v>614</v>
      </c>
      <c r="D1806" s="661"/>
      <c r="E1806" s="688"/>
      <c r="F1806" s="664" t="s">
        <v>615</v>
      </c>
      <c r="G1806" s="664">
        <v>0.1</v>
      </c>
      <c r="H1806" s="174">
        <f>H1805</f>
        <v>612700</v>
      </c>
      <c r="I1806" s="631">
        <f t="shared" si="52"/>
        <v>61270</v>
      </c>
      <c r="J1806" s="273"/>
      <c r="K1806" s="154" t="e">
        <f>VLOOKUP(A1806,#REF!,1,0)</f>
        <v>#REF!</v>
      </c>
      <c r="L1806" s="756">
        <v>750000</v>
      </c>
    </row>
    <row r="1807" spans="1:12" outlineLevel="1">
      <c r="B1807" s="659"/>
      <c r="C1807" s="660"/>
      <c r="D1807" s="661"/>
      <c r="E1807" s="688"/>
      <c r="F1807" s="662"/>
      <c r="G1807" s="660" t="s">
        <v>172</v>
      </c>
      <c r="H1807" s="666"/>
      <c r="I1807" s="666">
        <f>SUM(I1805:I1806)</f>
        <v>673970</v>
      </c>
      <c r="J1807" s="273"/>
      <c r="K1807" s="154" t="e">
        <f>VLOOKUP(A1807,#REF!,1,0)</f>
        <v>#REF!</v>
      </c>
      <c r="L1807" s="756">
        <f>L1806*L1805</f>
        <v>112500</v>
      </c>
    </row>
    <row r="1808" spans="1:12" outlineLevel="1">
      <c r="B1808" s="659" t="s">
        <v>157</v>
      </c>
      <c r="C1808" s="660" t="s">
        <v>158</v>
      </c>
      <c r="D1808" s="661"/>
      <c r="E1808" s="688"/>
      <c r="F1808" s="662"/>
      <c r="G1808" s="662"/>
      <c r="H1808" s="663"/>
      <c r="I1808" s="663"/>
      <c r="J1808" s="273"/>
      <c r="K1808" s="154" t="e">
        <f>VLOOKUP(A1808,#REF!,1,0)</f>
        <v>#REF!</v>
      </c>
    </row>
    <row r="1809" spans="1:12" outlineLevel="1">
      <c r="B1809" s="659"/>
      <c r="C1809" s="660"/>
      <c r="D1809" s="661"/>
      <c r="E1809" s="688"/>
      <c r="F1809" s="664"/>
      <c r="G1809" s="664"/>
      <c r="H1809" s="174"/>
      <c r="I1809" s="631"/>
      <c r="J1809" s="273"/>
    </row>
    <row r="1810" spans="1:12" outlineLevel="1">
      <c r="B1810" s="664"/>
      <c r="C1810" s="667"/>
      <c r="D1810" s="668"/>
      <c r="E1810" s="688"/>
      <c r="F1810" s="662"/>
      <c r="G1810" s="660" t="s">
        <v>159</v>
      </c>
      <c r="H1810" s="663"/>
      <c r="I1810" s="663">
        <f>I1809</f>
        <v>0</v>
      </c>
      <c r="J1810" s="273"/>
      <c r="K1810" s="154" t="e">
        <f>VLOOKUP(A1810,#REF!,1,0)</f>
        <v>#REF!</v>
      </c>
    </row>
    <row r="1811" spans="1:12" outlineLevel="1">
      <c r="B1811" s="662"/>
      <c r="C1811" s="669"/>
      <c r="D1811" s="670"/>
      <c r="E1811" s="688"/>
      <c r="F1811" s="662"/>
      <c r="G1811" s="662"/>
      <c r="H1811" s="663"/>
      <c r="I1811" s="663"/>
      <c r="J1811" s="273"/>
      <c r="K1811" s="154" t="e">
        <f>VLOOKUP(A1811,#REF!,1,0)</f>
        <v>#REF!</v>
      </c>
    </row>
    <row r="1812" spans="1:12" outlineLevel="1">
      <c r="B1812" s="659" t="s">
        <v>160</v>
      </c>
      <c r="C1812" s="660" t="s">
        <v>161</v>
      </c>
      <c r="D1812" s="661"/>
      <c r="E1812" s="673"/>
      <c r="F1812" s="663"/>
      <c r="G1812" s="663"/>
      <c r="H1812" s="663"/>
      <c r="I1812" s="666">
        <f>I1810+I1807+I1803</f>
        <v>824720</v>
      </c>
      <c r="J1812" s="273"/>
      <c r="K1812" s="154" t="e">
        <f>VLOOKUP(A1812,#REF!,1,0)</f>
        <v>#REF!</v>
      </c>
    </row>
    <row r="1813" spans="1:12" outlineLevel="1">
      <c r="B1813" s="659" t="s">
        <v>162</v>
      </c>
      <c r="C1813" s="660" t="s">
        <v>82</v>
      </c>
      <c r="D1813" s="661"/>
      <c r="E1813" s="752"/>
      <c r="F1813" s="671"/>
      <c r="G1813" s="672">
        <f>$J$3</f>
        <v>0.15</v>
      </c>
      <c r="H1813" s="673"/>
      <c r="I1813" s="674">
        <f>I1812*G1813</f>
        <v>123708</v>
      </c>
      <c r="J1813" s="273"/>
      <c r="K1813" s="154" t="e">
        <f>VLOOKUP(A1813,#REF!,1,0)</f>
        <v>#REF!</v>
      </c>
    </row>
    <row r="1814" spans="1:12" outlineLevel="1">
      <c r="B1814" s="659" t="s">
        <v>163</v>
      </c>
      <c r="C1814" s="660" t="s">
        <v>164</v>
      </c>
      <c r="D1814" s="661"/>
      <c r="E1814" s="673"/>
      <c r="F1814" s="663"/>
      <c r="G1814" s="663"/>
      <c r="H1814" s="663"/>
      <c r="I1814" s="666">
        <f>I1813+I1812</f>
        <v>948428</v>
      </c>
      <c r="J1814" s="273"/>
      <c r="K1814" s="154" t="e">
        <f>VLOOKUP(A1814,#REF!,1,0)</f>
        <v>#REF!</v>
      </c>
    </row>
    <row r="1815" spans="1:12" outlineLevel="1">
      <c r="B1815" s="184"/>
      <c r="D1815" s="186"/>
      <c r="E1815" s="186"/>
      <c r="F1815" s="280"/>
      <c r="G1815" s="280"/>
      <c r="H1815" s="280"/>
      <c r="I1815" s="331"/>
      <c r="J1815" s="273"/>
      <c r="K1815" s="154" t="e">
        <f>VLOOKUP(A1815,#REF!,1,0)</f>
        <v>#REF!</v>
      </c>
    </row>
    <row r="1816" spans="1:12">
      <c r="A1816" s="167" t="str">
        <f>B1816</f>
        <v>Hit.DRN.2.02</v>
      </c>
      <c r="B1816" s="287" t="s">
        <v>800</v>
      </c>
      <c r="D1816" s="167" t="s">
        <v>799</v>
      </c>
      <c r="J1816" s="273">
        <f>I1834</f>
        <v>705136.875</v>
      </c>
      <c r="K1816" s="154" t="e">
        <f>VLOOKUP(A1816,#REF!,1,0)</f>
        <v>#REF!</v>
      </c>
    </row>
    <row r="1817" spans="1:12" ht="31.2" outlineLevel="1">
      <c r="A1817" s="163"/>
      <c r="B1817" s="658" t="s">
        <v>75</v>
      </c>
      <c r="C1817" s="1249" t="s">
        <v>140</v>
      </c>
      <c r="D1817" s="1250"/>
      <c r="E1817" s="658" t="s">
        <v>141</v>
      </c>
      <c r="F1817" s="658" t="s">
        <v>142</v>
      </c>
      <c r="G1817" s="658" t="s">
        <v>143</v>
      </c>
      <c r="H1817" s="659" t="s">
        <v>144</v>
      </c>
      <c r="I1817" s="659" t="s">
        <v>145</v>
      </c>
      <c r="J1817" s="625"/>
      <c r="K1817" s="154" t="e">
        <f>VLOOKUP(A1817,#REF!,1,0)</f>
        <v>#REF!</v>
      </c>
    </row>
    <row r="1818" spans="1:12" outlineLevel="1">
      <c r="B1818" s="659" t="s">
        <v>146</v>
      </c>
      <c r="C1818" s="660" t="s">
        <v>147</v>
      </c>
      <c r="D1818" s="661"/>
      <c r="E1818" s="688"/>
      <c r="F1818" s="662"/>
      <c r="G1818" s="662"/>
      <c r="H1818" s="663"/>
      <c r="I1818" s="663"/>
      <c r="J1818" s="273"/>
      <c r="K1818" s="154" t="e">
        <f>VLOOKUP(A1818,#REF!,1,0)</f>
        <v>#REF!</v>
      </c>
    </row>
    <row r="1819" spans="1:12" outlineLevel="1">
      <c r="B1819" s="659"/>
      <c r="C1819" s="660" t="s">
        <v>77</v>
      </c>
      <c r="D1819" s="661"/>
      <c r="E1819" s="659" t="s">
        <v>148</v>
      </c>
      <c r="F1819" s="664" t="s">
        <v>76</v>
      </c>
      <c r="G1819" s="664">
        <v>0.3</v>
      </c>
      <c r="H1819" s="174">
        <f>VLOOKUP(C1819,'UPAH-BAHAN'!D:F,2,0)</f>
        <v>120000</v>
      </c>
      <c r="I1819" s="631">
        <f t="shared" ref="I1819:I1822" si="53">H1819*G1819</f>
        <v>36000</v>
      </c>
      <c r="J1819" s="273"/>
      <c r="K1819" s="154" t="e">
        <f>VLOOKUP(A1819,#REF!,1,0)</f>
        <v>#REF!</v>
      </c>
      <c r="L1819" s="760">
        <f>0.3*0.3</f>
        <v>0.09</v>
      </c>
    </row>
    <row r="1820" spans="1:12" outlineLevel="1">
      <c r="B1820" s="659"/>
      <c r="C1820" s="660" t="s">
        <v>86</v>
      </c>
      <c r="D1820" s="661"/>
      <c r="E1820" s="659" t="s">
        <v>149</v>
      </c>
      <c r="F1820" s="664" t="s">
        <v>76</v>
      </c>
      <c r="G1820" s="664">
        <v>0.3</v>
      </c>
      <c r="H1820" s="174">
        <f>VLOOKUP(C1820,'UPAH-BAHAN'!D:F,2,0)</f>
        <v>160000</v>
      </c>
      <c r="I1820" s="631">
        <f t="shared" si="53"/>
        <v>48000</v>
      </c>
      <c r="J1820" s="273"/>
      <c r="K1820" s="154" t="e">
        <f>VLOOKUP(A1820,#REF!,1,0)</f>
        <v>#REF!</v>
      </c>
      <c r="L1820" s="756">
        <v>750000</v>
      </c>
    </row>
    <row r="1821" spans="1:12" outlineLevel="1">
      <c r="B1821" s="659"/>
      <c r="C1821" s="660" t="s">
        <v>99</v>
      </c>
      <c r="D1821" s="661"/>
      <c r="E1821" s="659" t="s">
        <v>150</v>
      </c>
      <c r="F1821" s="664" t="s">
        <v>76</v>
      </c>
      <c r="G1821" s="664">
        <v>0.03</v>
      </c>
      <c r="H1821" s="174">
        <f>VLOOKUP(C1821,'UPAH-BAHAN'!D:F,2,0)</f>
        <v>170000</v>
      </c>
      <c r="I1821" s="631">
        <f t="shared" si="53"/>
        <v>5100</v>
      </c>
      <c r="J1821" s="273"/>
      <c r="K1821" s="154" t="e">
        <f>VLOOKUP(A1821,#REF!,1,0)</f>
        <v>#REF!</v>
      </c>
      <c r="L1821" s="756">
        <f>L1820*L1819</f>
        <v>67500</v>
      </c>
    </row>
    <row r="1822" spans="1:12" outlineLevel="1">
      <c r="B1822" s="659"/>
      <c r="C1822" s="660" t="s">
        <v>80</v>
      </c>
      <c r="D1822" s="661"/>
      <c r="E1822" s="659" t="s">
        <v>151</v>
      </c>
      <c r="F1822" s="664" t="s">
        <v>76</v>
      </c>
      <c r="G1822" s="664">
        <v>0.01</v>
      </c>
      <c r="H1822" s="174">
        <f>VLOOKUP(C1822,'UPAH-BAHAN'!D:F,2,0)</f>
        <v>225000</v>
      </c>
      <c r="I1822" s="631">
        <f t="shared" si="53"/>
        <v>2250</v>
      </c>
      <c r="J1822" s="273"/>
      <c r="K1822" s="154" t="e">
        <f>VLOOKUP(A1822,#REF!,1,0)</f>
        <v>#REF!</v>
      </c>
    </row>
    <row r="1823" spans="1:12" outlineLevel="1">
      <c r="B1823" s="659"/>
      <c r="C1823" s="660"/>
      <c r="D1823" s="661"/>
      <c r="E1823" s="688"/>
      <c r="F1823" s="662"/>
      <c r="G1823" s="660" t="s">
        <v>171</v>
      </c>
      <c r="H1823" s="666"/>
      <c r="I1823" s="666">
        <f>SUM(I1819:I1822)</f>
        <v>91350</v>
      </c>
      <c r="J1823" s="273"/>
      <c r="K1823" s="154" t="e">
        <f>VLOOKUP(A1823,#REF!,1,0)</f>
        <v>#REF!</v>
      </c>
    </row>
    <row r="1824" spans="1:12" outlineLevel="1">
      <c r="B1824" s="659" t="s">
        <v>153</v>
      </c>
      <c r="C1824" s="660" t="s">
        <v>154</v>
      </c>
      <c r="D1824" s="661"/>
      <c r="E1824" s="688"/>
      <c r="F1824" s="662"/>
      <c r="G1824" s="662"/>
      <c r="H1824" s="666"/>
      <c r="I1824" s="666"/>
      <c r="J1824" s="273"/>
      <c r="K1824" s="154" t="e">
        <f>VLOOKUP(A1824,#REF!,1,0)</f>
        <v>#REF!</v>
      </c>
    </row>
    <row r="1825" spans="1:11" outlineLevel="1">
      <c r="B1825" s="659"/>
      <c r="C1825" s="730" t="s">
        <v>869</v>
      </c>
      <c r="D1825" s="661"/>
      <c r="E1825" s="688"/>
      <c r="F1825" s="664" t="s">
        <v>23</v>
      </c>
      <c r="G1825" s="664">
        <v>1</v>
      </c>
      <c r="H1825" s="174">
        <f>VLOOKUP(C1825,'UPAH-BAHAN'!D:F,2,0)</f>
        <v>474374.99999999994</v>
      </c>
      <c r="I1825" s="631">
        <f t="shared" ref="I1825:I1826" si="54">H1825*G1825</f>
        <v>474374.99999999994</v>
      </c>
      <c r="J1825" s="273"/>
      <c r="K1825" s="154" t="e">
        <f>VLOOKUP(A1825,#REF!,1,0)</f>
        <v>#REF!</v>
      </c>
    </row>
    <row r="1826" spans="1:11" outlineLevel="1">
      <c r="B1826" s="659"/>
      <c r="C1826" s="660" t="s">
        <v>614</v>
      </c>
      <c r="D1826" s="661"/>
      <c r="E1826" s="688"/>
      <c r="F1826" s="664" t="s">
        <v>615</v>
      </c>
      <c r="G1826" s="664">
        <v>0.1</v>
      </c>
      <c r="H1826" s="174">
        <f>H1825</f>
        <v>474374.99999999994</v>
      </c>
      <c r="I1826" s="631">
        <f t="shared" si="54"/>
        <v>47437.5</v>
      </c>
      <c r="J1826" s="273"/>
      <c r="K1826" s="154" t="e">
        <f>VLOOKUP(A1826,#REF!,1,0)</f>
        <v>#REF!</v>
      </c>
    </row>
    <row r="1827" spans="1:11" outlineLevel="1">
      <c r="B1827" s="659"/>
      <c r="C1827" s="660"/>
      <c r="D1827" s="661"/>
      <c r="E1827" s="688"/>
      <c r="F1827" s="662"/>
      <c r="G1827" s="660" t="s">
        <v>172</v>
      </c>
      <c r="H1827" s="666"/>
      <c r="I1827" s="666">
        <f>SUM(I1825:I1826)</f>
        <v>521812.49999999994</v>
      </c>
      <c r="J1827" s="273"/>
      <c r="K1827" s="154" t="e">
        <f>VLOOKUP(A1827,#REF!,1,0)</f>
        <v>#REF!</v>
      </c>
    </row>
    <row r="1828" spans="1:11" outlineLevel="1">
      <c r="B1828" s="659" t="s">
        <v>157</v>
      </c>
      <c r="C1828" s="660" t="s">
        <v>158</v>
      </c>
      <c r="D1828" s="661"/>
      <c r="E1828" s="688"/>
      <c r="F1828" s="662"/>
      <c r="G1828" s="662"/>
      <c r="H1828" s="663"/>
      <c r="I1828" s="663"/>
      <c r="J1828" s="273"/>
      <c r="K1828" s="154" t="e">
        <f>VLOOKUP(A1828,#REF!,1,0)</f>
        <v>#REF!</v>
      </c>
    </row>
    <row r="1829" spans="1:11" outlineLevel="1">
      <c r="B1829" s="659"/>
      <c r="C1829" s="660"/>
      <c r="D1829" s="661"/>
      <c r="E1829" s="688"/>
      <c r="F1829" s="662"/>
      <c r="G1829" s="662"/>
      <c r="H1829" s="663"/>
      <c r="I1829" s="663"/>
      <c r="J1829" s="273"/>
      <c r="K1829" s="154" t="e">
        <f>VLOOKUP(A1829,#REF!,1,0)</f>
        <v>#REF!</v>
      </c>
    </row>
    <row r="1830" spans="1:11" outlineLevel="1">
      <c r="B1830" s="664"/>
      <c r="C1830" s="667"/>
      <c r="D1830" s="668"/>
      <c r="E1830" s="688"/>
      <c r="F1830" s="662"/>
      <c r="G1830" s="660" t="s">
        <v>159</v>
      </c>
      <c r="H1830" s="663"/>
      <c r="I1830" s="663">
        <f>I1829</f>
        <v>0</v>
      </c>
      <c r="J1830" s="273"/>
      <c r="K1830" s="154" t="e">
        <f>VLOOKUP(A1830,#REF!,1,0)</f>
        <v>#REF!</v>
      </c>
    </row>
    <row r="1831" spans="1:11" outlineLevel="1">
      <c r="B1831" s="662"/>
      <c r="C1831" s="669"/>
      <c r="D1831" s="670"/>
      <c r="E1831" s="688"/>
      <c r="F1831" s="662"/>
      <c r="G1831" s="662"/>
      <c r="H1831" s="663"/>
      <c r="I1831" s="663"/>
      <c r="J1831" s="273"/>
      <c r="K1831" s="154" t="e">
        <f>VLOOKUP(A1831,#REF!,1,0)</f>
        <v>#REF!</v>
      </c>
    </row>
    <row r="1832" spans="1:11" outlineLevel="1">
      <c r="B1832" s="659" t="s">
        <v>160</v>
      </c>
      <c r="C1832" s="660" t="s">
        <v>161</v>
      </c>
      <c r="D1832" s="661"/>
      <c r="E1832" s="673"/>
      <c r="F1832" s="663"/>
      <c r="G1832" s="663"/>
      <c r="H1832" s="663"/>
      <c r="I1832" s="666">
        <f>I1830+I1827+I1823</f>
        <v>613162.5</v>
      </c>
      <c r="J1832" s="273"/>
      <c r="K1832" s="154" t="e">
        <f>VLOOKUP(A1832,#REF!,1,0)</f>
        <v>#REF!</v>
      </c>
    </row>
    <row r="1833" spans="1:11" outlineLevel="1">
      <c r="B1833" s="659" t="s">
        <v>162</v>
      </c>
      <c r="C1833" s="660" t="s">
        <v>82</v>
      </c>
      <c r="D1833" s="661"/>
      <c r="E1833" s="752"/>
      <c r="F1833" s="671"/>
      <c r="G1833" s="672">
        <f>$J$3</f>
        <v>0.15</v>
      </c>
      <c r="H1833" s="673"/>
      <c r="I1833" s="674">
        <f>I1832*G1833</f>
        <v>91974.375</v>
      </c>
      <c r="J1833" s="273"/>
      <c r="K1833" s="154" t="e">
        <f>VLOOKUP(A1833,#REF!,1,0)</f>
        <v>#REF!</v>
      </c>
    </row>
    <row r="1834" spans="1:11" outlineLevel="1">
      <c r="B1834" s="659" t="s">
        <v>163</v>
      </c>
      <c r="C1834" s="660" t="s">
        <v>164</v>
      </c>
      <c r="D1834" s="661"/>
      <c r="E1834" s="673"/>
      <c r="F1834" s="663"/>
      <c r="G1834" s="663"/>
      <c r="H1834" s="663"/>
      <c r="I1834" s="666">
        <f>I1833+I1832</f>
        <v>705136.875</v>
      </c>
      <c r="J1834" s="273"/>
      <c r="K1834" s="154" t="e">
        <f>VLOOKUP(A1834,#REF!,1,0)</f>
        <v>#REF!</v>
      </c>
    </row>
    <row r="1835" spans="1:11" outlineLevel="1">
      <c r="B1835" s="184"/>
      <c r="D1835" s="186"/>
      <c r="E1835" s="186"/>
      <c r="F1835" s="280"/>
      <c r="G1835" s="280"/>
      <c r="H1835" s="280"/>
      <c r="I1835" s="331"/>
      <c r="J1835" s="273"/>
      <c r="K1835" s="154" t="e">
        <f>VLOOKUP(A1835,#REF!,1,0)</f>
        <v>#REF!</v>
      </c>
    </row>
    <row r="1836" spans="1:11">
      <c r="A1836" s="167" t="str">
        <f>B1836</f>
        <v>Hit.DRN.3.01</v>
      </c>
      <c r="B1836" s="287" t="s">
        <v>798</v>
      </c>
      <c r="D1836" s="167" t="s">
        <v>705</v>
      </c>
      <c r="J1836" s="273">
        <f>I1854</f>
        <v>230805</v>
      </c>
      <c r="K1836" s="154" t="e">
        <f>VLOOKUP(A1836,#REF!,1,0)</f>
        <v>#REF!</v>
      </c>
    </row>
    <row r="1837" spans="1:11" ht="31.2" outlineLevel="1">
      <c r="A1837" s="163"/>
      <c r="B1837" s="658" t="s">
        <v>75</v>
      </c>
      <c r="C1837" s="1249" t="s">
        <v>140</v>
      </c>
      <c r="D1837" s="1250"/>
      <c r="E1837" s="658" t="s">
        <v>141</v>
      </c>
      <c r="F1837" s="658" t="s">
        <v>142</v>
      </c>
      <c r="G1837" s="658" t="s">
        <v>143</v>
      </c>
      <c r="H1837" s="659" t="s">
        <v>144</v>
      </c>
      <c r="I1837" s="659" t="s">
        <v>145</v>
      </c>
      <c r="J1837" s="625"/>
      <c r="K1837" s="154" t="e">
        <f>VLOOKUP(A1837,#REF!,1,0)</f>
        <v>#REF!</v>
      </c>
    </row>
    <row r="1838" spans="1:11" outlineLevel="1">
      <c r="B1838" s="659" t="s">
        <v>146</v>
      </c>
      <c r="C1838" s="660" t="s">
        <v>147</v>
      </c>
      <c r="D1838" s="661"/>
      <c r="E1838" s="688"/>
      <c r="F1838" s="662"/>
      <c r="G1838" s="662"/>
      <c r="H1838" s="663"/>
      <c r="I1838" s="663"/>
      <c r="J1838" s="273"/>
      <c r="K1838" s="154" t="e">
        <f>VLOOKUP(A1838,#REF!,1,0)</f>
        <v>#REF!</v>
      </c>
    </row>
    <row r="1839" spans="1:11" outlineLevel="1">
      <c r="B1839" s="659"/>
      <c r="C1839" s="660" t="s">
        <v>77</v>
      </c>
      <c r="D1839" s="661"/>
      <c r="E1839" s="659" t="s">
        <v>148</v>
      </c>
      <c r="F1839" s="664" t="s">
        <v>76</v>
      </c>
      <c r="G1839" s="664">
        <v>0.1</v>
      </c>
      <c r="H1839" s="174">
        <f>VLOOKUP(C1839,'UPAH-BAHAN'!D:F,2,0)</f>
        <v>120000</v>
      </c>
      <c r="I1839" s="631">
        <f t="shared" ref="I1839:I1842" si="55">H1839*G1839</f>
        <v>12000</v>
      </c>
      <c r="J1839" s="273"/>
      <c r="K1839" s="154" t="e">
        <f>VLOOKUP(A1839,#REF!,1,0)</f>
        <v>#REF!</v>
      </c>
    </row>
    <row r="1840" spans="1:11" outlineLevel="1">
      <c r="B1840" s="659"/>
      <c r="C1840" s="660" t="s">
        <v>86</v>
      </c>
      <c r="D1840" s="661"/>
      <c r="E1840" s="659" t="s">
        <v>149</v>
      </c>
      <c r="F1840" s="664" t="s">
        <v>76</v>
      </c>
      <c r="G1840" s="664">
        <v>0.1</v>
      </c>
      <c r="H1840" s="174">
        <f>VLOOKUP(C1840,'UPAH-BAHAN'!D:F,2,0)</f>
        <v>160000</v>
      </c>
      <c r="I1840" s="631">
        <f t="shared" si="55"/>
        <v>16000</v>
      </c>
      <c r="J1840" s="273"/>
      <c r="K1840" s="154" t="e">
        <f>VLOOKUP(A1840,#REF!,1,0)</f>
        <v>#REF!</v>
      </c>
    </row>
    <row r="1841" spans="1:11" outlineLevel="1">
      <c r="B1841" s="659"/>
      <c r="C1841" s="660" t="s">
        <v>99</v>
      </c>
      <c r="D1841" s="661"/>
      <c r="E1841" s="659" t="s">
        <v>150</v>
      </c>
      <c r="F1841" s="664" t="s">
        <v>76</v>
      </c>
      <c r="G1841" s="664">
        <v>0.01</v>
      </c>
      <c r="H1841" s="174">
        <f>VLOOKUP(C1841,'UPAH-BAHAN'!D:F,2,0)</f>
        <v>170000</v>
      </c>
      <c r="I1841" s="631">
        <f t="shared" si="55"/>
        <v>1700</v>
      </c>
      <c r="J1841" s="273"/>
      <c r="K1841" s="154" t="e">
        <f>VLOOKUP(A1841,#REF!,1,0)</f>
        <v>#REF!</v>
      </c>
    </row>
    <row r="1842" spans="1:11" outlineLevel="1">
      <c r="B1842" s="659"/>
      <c r="C1842" s="660" t="s">
        <v>80</v>
      </c>
      <c r="D1842" s="661"/>
      <c r="E1842" s="659" t="s">
        <v>151</v>
      </c>
      <c r="F1842" s="664" t="s">
        <v>76</v>
      </c>
      <c r="G1842" s="664">
        <v>1E-3</v>
      </c>
      <c r="H1842" s="174">
        <f>VLOOKUP(C1842,'UPAH-BAHAN'!D:F,2,0)</f>
        <v>225000</v>
      </c>
      <c r="I1842" s="631">
        <f t="shared" si="55"/>
        <v>225</v>
      </c>
      <c r="J1842" s="273"/>
      <c r="K1842" s="154" t="e">
        <f>VLOOKUP(A1842,#REF!,1,0)</f>
        <v>#REF!</v>
      </c>
    </row>
    <row r="1843" spans="1:11" outlineLevel="1">
      <c r="B1843" s="659"/>
      <c r="C1843" s="660"/>
      <c r="D1843" s="661"/>
      <c r="E1843" s="688"/>
      <c r="F1843" s="662"/>
      <c r="G1843" s="660" t="s">
        <v>171</v>
      </c>
      <c r="H1843" s="666"/>
      <c r="I1843" s="666">
        <f>SUM(I1839:I1842)</f>
        <v>29925</v>
      </c>
      <c r="J1843" s="273"/>
      <c r="K1843" s="154" t="e">
        <f>VLOOKUP(A1843,#REF!,1,0)</f>
        <v>#REF!</v>
      </c>
    </row>
    <row r="1844" spans="1:11" outlineLevel="1">
      <c r="B1844" s="659" t="s">
        <v>153</v>
      </c>
      <c r="C1844" s="660" t="s">
        <v>154</v>
      </c>
      <c r="D1844" s="661"/>
      <c r="E1844" s="688"/>
      <c r="F1844" s="662"/>
      <c r="G1844" s="662"/>
      <c r="H1844" s="666"/>
      <c r="I1844" s="666"/>
      <c r="J1844" s="273"/>
      <c r="K1844" s="154" t="e">
        <f>VLOOKUP(A1844,#REF!,1,0)</f>
        <v>#REF!</v>
      </c>
    </row>
    <row r="1845" spans="1:11" outlineLevel="1">
      <c r="B1845" s="659"/>
      <c r="C1845" s="730" t="s">
        <v>870</v>
      </c>
      <c r="D1845" s="661"/>
      <c r="E1845" s="688"/>
      <c r="F1845" s="664" t="s">
        <v>286</v>
      </c>
      <c r="G1845" s="664">
        <v>1</v>
      </c>
      <c r="H1845" s="174">
        <f>VLOOKUP(C1845,'UPAH-BAHAN'!D:F,2,0)</f>
        <v>155250</v>
      </c>
      <c r="I1845" s="631">
        <f t="shared" ref="I1845:I1846" si="56">H1845*G1845</f>
        <v>155250</v>
      </c>
      <c r="J1845" s="273"/>
      <c r="K1845" s="154" t="e">
        <f>VLOOKUP(A1845,#REF!,1,0)</f>
        <v>#REF!</v>
      </c>
    </row>
    <row r="1846" spans="1:11" outlineLevel="1">
      <c r="B1846" s="659"/>
      <c r="C1846" s="660" t="s">
        <v>614</v>
      </c>
      <c r="D1846" s="661"/>
      <c r="E1846" s="688"/>
      <c r="F1846" s="664" t="s">
        <v>615</v>
      </c>
      <c r="G1846" s="664">
        <v>0.1</v>
      </c>
      <c r="H1846" s="174">
        <f>H1845</f>
        <v>155250</v>
      </c>
      <c r="I1846" s="631">
        <f t="shared" si="56"/>
        <v>15525</v>
      </c>
      <c r="J1846" s="273"/>
      <c r="K1846" s="154" t="e">
        <f>VLOOKUP(A1846,#REF!,1,0)</f>
        <v>#REF!</v>
      </c>
    </row>
    <row r="1847" spans="1:11" outlineLevel="1">
      <c r="B1847" s="659"/>
      <c r="C1847" s="660"/>
      <c r="D1847" s="661"/>
      <c r="E1847" s="688"/>
      <c r="F1847" s="662"/>
      <c r="G1847" s="660" t="s">
        <v>172</v>
      </c>
      <c r="H1847" s="666"/>
      <c r="I1847" s="666">
        <f>SUM(I1845:I1846)</f>
        <v>170775</v>
      </c>
      <c r="J1847" s="273"/>
      <c r="K1847" s="154" t="e">
        <f>VLOOKUP(A1847,#REF!,1,0)</f>
        <v>#REF!</v>
      </c>
    </row>
    <row r="1848" spans="1:11" outlineLevel="1">
      <c r="B1848" s="659" t="s">
        <v>157</v>
      </c>
      <c r="C1848" s="660" t="s">
        <v>158</v>
      </c>
      <c r="D1848" s="661"/>
      <c r="E1848" s="688"/>
      <c r="F1848" s="662"/>
      <c r="G1848" s="662"/>
      <c r="H1848" s="663"/>
      <c r="I1848" s="663"/>
      <c r="J1848" s="273"/>
      <c r="K1848" s="154" t="e">
        <f>VLOOKUP(A1848,#REF!,1,0)</f>
        <v>#REF!</v>
      </c>
    </row>
    <row r="1849" spans="1:11" outlineLevel="1">
      <c r="B1849" s="659"/>
      <c r="C1849" s="660"/>
      <c r="D1849" s="661"/>
      <c r="E1849" s="688"/>
      <c r="F1849" s="662"/>
      <c r="G1849" s="662"/>
      <c r="H1849" s="663"/>
      <c r="I1849" s="663"/>
      <c r="J1849" s="273"/>
      <c r="K1849" s="154" t="e">
        <f>VLOOKUP(A1849,#REF!,1,0)</f>
        <v>#REF!</v>
      </c>
    </row>
    <row r="1850" spans="1:11" outlineLevel="1">
      <c r="B1850" s="664"/>
      <c r="C1850" s="667"/>
      <c r="D1850" s="668"/>
      <c r="E1850" s="688"/>
      <c r="F1850" s="662"/>
      <c r="G1850" s="660" t="s">
        <v>159</v>
      </c>
      <c r="H1850" s="663"/>
      <c r="I1850" s="663">
        <f>I1849</f>
        <v>0</v>
      </c>
      <c r="J1850" s="273"/>
      <c r="K1850" s="154" t="e">
        <f>VLOOKUP(A1850,#REF!,1,0)</f>
        <v>#REF!</v>
      </c>
    </row>
    <row r="1851" spans="1:11" outlineLevel="1">
      <c r="B1851" s="662"/>
      <c r="C1851" s="669"/>
      <c r="D1851" s="670"/>
      <c r="E1851" s="688"/>
      <c r="F1851" s="662"/>
      <c r="G1851" s="662"/>
      <c r="H1851" s="663"/>
      <c r="I1851" s="663"/>
      <c r="J1851" s="273"/>
      <c r="K1851" s="154" t="e">
        <f>VLOOKUP(A1851,#REF!,1,0)</f>
        <v>#REF!</v>
      </c>
    </row>
    <row r="1852" spans="1:11" outlineLevel="1">
      <c r="B1852" s="659" t="s">
        <v>160</v>
      </c>
      <c r="C1852" s="660" t="s">
        <v>161</v>
      </c>
      <c r="D1852" s="661"/>
      <c r="E1852" s="673"/>
      <c r="F1852" s="663"/>
      <c r="G1852" s="663"/>
      <c r="H1852" s="663"/>
      <c r="I1852" s="666">
        <f>I1850+I1847+I1843</f>
        <v>200700</v>
      </c>
      <c r="J1852" s="273"/>
      <c r="K1852" s="154" t="e">
        <f>VLOOKUP(A1852,#REF!,1,0)</f>
        <v>#REF!</v>
      </c>
    </row>
    <row r="1853" spans="1:11" outlineLevel="1">
      <c r="B1853" s="659" t="s">
        <v>162</v>
      </c>
      <c r="C1853" s="660" t="s">
        <v>82</v>
      </c>
      <c r="D1853" s="661"/>
      <c r="E1853" s="752"/>
      <c r="F1853" s="671"/>
      <c r="G1853" s="672">
        <f>$J$3</f>
        <v>0.15</v>
      </c>
      <c r="H1853" s="673"/>
      <c r="I1853" s="674">
        <f>I1852*G1853</f>
        <v>30105</v>
      </c>
      <c r="J1853" s="273"/>
      <c r="K1853" s="154" t="e">
        <f>VLOOKUP(A1853,#REF!,1,0)</f>
        <v>#REF!</v>
      </c>
    </row>
    <row r="1854" spans="1:11" outlineLevel="1">
      <c r="B1854" s="659" t="s">
        <v>163</v>
      </c>
      <c r="C1854" s="660" t="s">
        <v>164</v>
      </c>
      <c r="D1854" s="661"/>
      <c r="E1854" s="673"/>
      <c r="F1854" s="663"/>
      <c r="G1854" s="663"/>
      <c r="H1854" s="663"/>
      <c r="I1854" s="666">
        <f>I1853+I1852</f>
        <v>230805</v>
      </c>
      <c r="J1854" s="273"/>
      <c r="K1854" s="154" t="e">
        <f>VLOOKUP(A1854,#REF!,1,0)</f>
        <v>#REF!</v>
      </c>
    </row>
    <row r="1855" spans="1:11" outlineLevel="1">
      <c r="B1855" s="184"/>
      <c r="D1855" s="186"/>
      <c r="E1855" s="186"/>
      <c r="F1855" s="280"/>
      <c r="G1855" s="280"/>
      <c r="H1855" s="280"/>
      <c r="I1855" s="331"/>
      <c r="J1855" s="273"/>
      <c r="K1855" s="154" t="e">
        <f>VLOOKUP(A1855,#REF!,1,0)</f>
        <v>#REF!</v>
      </c>
    </row>
    <row r="1856" spans="1:11">
      <c r="A1856" s="167" t="str">
        <f>B1856</f>
        <v>Hit. DRN.4.01</v>
      </c>
      <c r="B1856" s="287" t="s">
        <v>805</v>
      </c>
      <c r="D1856" s="167" t="s">
        <v>885</v>
      </c>
      <c r="J1856" s="273">
        <f>I1865</f>
        <v>884602.23019505502</v>
      </c>
      <c r="K1856" s="154" t="e">
        <f>VLOOKUP(A1856,#REF!,1,0)</f>
        <v>#REF!</v>
      </c>
    </row>
    <row r="1857" spans="1:11" ht="31.2" outlineLevel="1">
      <c r="A1857" s="163"/>
      <c r="B1857" s="658" t="s">
        <v>75</v>
      </c>
      <c r="C1857" s="1249" t="s">
        <v>140</v>
      </c>
      <c r="D1857" s="1250"/>
      <c r="E1857" s="658" t="s">
        <v>141</v>
      </c>
      <c r="F1857" s="658" t="s">
        <v>142</v>
      </c>
      <c r="G1857" s="658" t="s">
        <v>143</v>
      </c>
      <c r="H1857" s="659" t="s">
        <v>144</v>
      </c>
      <c r="I1857" s="659" t="s">
        <v>145</v>
      </c>
      <c r="J1857" s="625"/>
      <c r="K1857" s="154" t="e">
        <f>VLOOKUP(A1857,#REF!,1,0)</f>
        <v>#REF!</v>
      </c>
    </row>
    <row r="1858" spans="1:11" outlineLevel="1">
      <c r="A1858" s="163"/>
      <c r="B1858" s="658" t="s">
        <v>146</v>
      </c>
      <c r="C1858" s="160" t="s">
        <v>888</v>
      </c>
      <c r="D1858" s="754"/>
      <c r="E1858" s="658"/>
      <c r="F1858" s="658"/>
      <c r="G1858" s="658"/>
      <c r="H1858" s="659"/>
      <c r="I1858" s="659"/>
      <c r="J1858" s="625"/>
    </row>
    <row r="1859" spans="1:11" outlineLevel="1">
      <c r="B1859" s="659"/>
      <c r="C1859" s="730" t="s">
        <v>366</v>
      </c>
      <c r="D1859" s="661"/>
      <c r="E1859" s="688"/>
      <c r="F1859" s="664" t="s">
        <v>81</v>
      </c>
      <c r="G1859" s="664">
        <f>0.8*0.8*0.05*1.1</f>
        <v>3.5200000000000009E-2</v>
      </c>
      <c r="H1859" s="174">
        <f>$J$91</f>
        <v>209587.5</v>
      </c>
      <c r="I1859" s="631">
        <f t="shared" ref="I1859:I1860" si="57">H1859*G1859</f>
        <v>7377.4800000000023</v>
      </c>
      <c r="J1859" s="273"/>
      <c r="K1859" s="154" t="e">
        <f>VLOOKUP(A1859,#REF!,1,0)</f>
        <v>#REF!</v>
      </c>
    </row>
    <row r="1860" spans="1:11" outlineLevel="1">
      <c r="B1860" s="659"/>
      <c r="C1860" s="660" t="s">
        <v>887</v>
      </c>
      <c r="D1860" s="661"/>
      <c r="E1860" s="688"/>
      <c r="F1860" s="664" t="s">
        <v>81</v>
      </c>
      <c r="G1860" s="664">
        <f>G1859</f>
        <v>3.5200000000000009E-2</v>
      </c>
      <c r="H1860" s="174">
        <f>$J$129</f>
        <v>1190340.357142857</v>
      </c>
      <c r="I1860" s="631">
        <f t="shared" si="57"/>
        <v>41899.980571428576</v>
      </c>
      <c r="J1860" s="273"/>
      <c r="K1860" s="154" t="e">
        <f>VLOOKUP(A1860,#REF!,1,0)</f>
        <v>#REF!</v>
      </c>
    </row>
    <row r="1861" spans="1:11" outlineLevel="1">
      <c r="B1861" s="659"/>
      <c r="C1861" s="660" t="s">
        <v>886</v>
      </c>
      <c r="D1861" s="661"/>
      <c r="E1861" s="688"/>
      <c r="F1861" s="664" t="s">
        <v>81</v>
      </c>
      <c r="G1861" s="664">
        <f>0.8*0.8*0.1*1.1</f>
        <v>7.0400000000000018E-2</v>
      </c>
      <c r="H1861" s="174">
        <f>$J$214</f>
        <v>1342419.010989011</v>
      </c>
      <c r="I1861" s="631">
        <f t="shared" ref="I1861" si="58">H1861*G1861</f>
        <v>94506.2983736264</v>
      </c>
      <c r="J1861" s="273"/>
      <c r="K1861" s="154" t="e">
        <f>VLOOKUP(A1861,#REF!,1,0)</f>
        <v>#REF!</v>
      </c>
    </row>
    <row r="1862" spans="1:11" outlineLevel="1">
      <c r="B1862" s="659"/>
      <c r="C1862" s="730" t="s">
        <v>883</v>
      </c>
      <c r="D1862" s="661"/>
      <c r="E1862" s="688"/>
      <c r="F1862" s="664" t="s">
        <v>133</v>
      </c>
      <c r="G1862" s="664">
        <f>0.65*4*1.1</f>
        <v>2.8600000000000003</v>
      </c>
      <c r="H1862" s="174">
        <f>$J$422</f>
        <v>143836.25</v>
      </c>
      <c r="I1862" s="631">
        <f t="shared" ref="I1862" si="59">H1862*G1862</f>
        <v>411371.67500000005</v>
      </c>
      <c r="J1862" s="273"/>
      <c r="K1862" s="154" t="e">
        <f>VLOOKUP(A1862,#REF!,1,0)</f>
        <v>#REF!</v>
      </c>
    </row>
    <row r="1863" spans="1:11" outlineLevel="1">
      <c r="B1863" s="659"/>
      <c r="C1863" s="730" t="s">
        <v>884</v>
      </c>
      <c r="D1863" s="661"/>
      <c r="E1863" s="688"/>
      <c r="F1863" s="664" t="s">
        <v>133</v>
      </c>
      <c r="G1863" s="664">
        <f>(G1862+(0.65*0.15*4))*1.1</f>
        <v>3.5750000000000006</v>
      </c>
      <c r="H1863" s="174">
        <f>$J$443</f>
        <v>92152.95</v>
      </c>
      <c r="I1863" s="631">
        <f t="shared" ref="I1863" si="60">H1863*G1863</f>
        <v>329446.79625000007</v>
      </c>
      <c r="J1863" s="273"/>
      <c r="K1863" s="154" t="e">
        <f>VLOOKUP(A1863,#REF!,1,0)</f>
        <v>#REF!</v>
      </c>
    </row>
    <row r="1864" spans="1:11" outlineLevel="1">
      <c r="B1864" s="659"/>
      <c r="C1864" s="660"/>
      <c r="D1864" s="661"/>
      <c r="E1864" s="688"/>
      <c r="F1864" s="662"/>
      <c r="G1864" s="660"/>
      <c r="H1864" s="666"/>
      <c r="I1864" s="666"/>
      <c r="J1864" s="273"/>
      <c r="K1864" s="154" t="e">
        <f>VLOOKUP(A1864,#REF!,1,0)</f>
        <v>#REF!</v>
      </c>
    </row>
    <row r="1865" spans="1:11" outlineLevel="1">
      <c r="B1865" s="659" t="s">
        <v>153</v>
      </c>
      <c r="C1865" s="660" t="s">
        <v>948</v>
      </c>
      <c r="D1865" s="661"/>
      <c r="E1865" s="673"/>
      <c r="F1865" s="663"/>
      <c r="G1865" s="663"/>
      <c r="H1865" s="663"/>
      <c r="I1865" s="666">
        <f>SUM(I1859:I1864)</f>
        <v>884602.23019505502</v>
      </c>
      <c r="J1865" s="273"/>
      <c r="K1865" s="154" t="e">
        <f>VLOOKUP(A1865,#REF!,1,0)</f>
        <v>#REF!</v>
      </c>
    </row>
    <row r="1866" spans="1:11" outlineLevel="1">
      <c r="B1866" s="184"/>
      <c r="D1866" s="186"/>
      <c r="E1866" s="186"/>
      <c r="F1866" s="280"/>
      <c r="G1866" s="280"/>
      <c r="H1866" s="280"/>
      <c r="I1866" s="331"/>
      <c r="J1866" s="273"/>
      <c r="K1866" s="154" t="e">
        <f>VLOOKUP(A1866,#REF!,1,0)</f>
        <v>#REF!</v>
      </c>
    </row>
    <row r="1867" spans="1:11">
      <c r="A1867" s="167" t="str">
        <f>B1867</f>
        <v>Hit. DRN.4.02</v>
      </c>
      <c r="B1867" s="287" t="s">
        <v>806</v>
      </c>
      <c r="D1867" s="167" t="s">
        <v>889</v>
      </c>
      <c r="J1867" s="273">
        <f>I1877</f>
        <v>246790</v>
      </c>
      <c r="K1867" s="154" t="e">
        <f>VLOOKUP(A1867,#REF!,1,0)</f>
        <v>#REF!</v>
      </c>
    </row>
    <row r="1868" spans="1:11" ht="31.2" outlineLevel="1">
      <c r="A1868" s="163"/>
      <c r="B1868" s="658" t="s">
        <v>75</v>
      </c>
      <c r="C1868" s="1249" t="s">
        <v>140</v>
      </c>
      <c r="D1868" s="1250"/>
      <c r="E1868" s="658" t="s">
        <v>141</v>
      </c>
      <c r="F1868" s="658" t="s">
        <v>142</v>
      </c>
      <c r="G1868" s="658" t="s">
        <v>143</v>
      </c>
      <c r="H1868" s="659" t="s">
        <v>144</v>
      </c>
      <c r="I1868" s="659" t="s">
        <v>145</v>
      </c>
      <c r="J1868" s="625"/>
      <c r="K1868" s="154" t="e">
        <f>VLOOKUP(A1868,#REF!,1,0)</f>
        <v>#REF!</v>
      </c>
    </row>
    <row r="1869" spans="1:11" outlineLevel="1">
      <c r="A1869" s="163"/>
      <c r="B1869" s="658" t="s">
        <v>146</v>
      </c>
      <c r="C1869" s="160" t="s">
        <v>888</v>
      </c>
      <c r="D1869" s="754"/>
      <c r="E1869" s="658"/>
      <c r="F1869" s="658"/>
      <c r="G1869" s="658"/>
      <c r="H1869" s="659"/>
      <c r="I1869" s="659"/>
      <c r="J1869" s="625"/>
    </row>
    <row r="1870" spans="1:11" outlineLevel="1">
      <c r="B1870" s="659"/>
      <c r="C1870" s="730" t="s">
        <v>951</v>
      </c>
      <c r="D1870" s="661"/>
      <c r="E1870" s="688"/>
      <c r="F1870" s="664" t="s">
        <v>21</v>
      </c>
      <c r="G1870" s="664">
        <f>0.3*4*1.1</f>
        <v>1.32</v>
      </c>
      <c r="H1870" s="174">
        <f>VLOOKUP(C1870,'UPAH-BAHAN'!D:F,2,0)</f>
        <v>25000</v>
      </c>
      <c r="I1870" s="631">
        <f t="shared" ref="I1870:I1873" si="61">H1870*G1870</f>
        <v>33000</v>
      </c>
      <c r="J1870" s="273"/>
      <c r="K1870" s="154" t="e">
        <f>VLOOKUP(A1870,#REF!,1,0)</f>
        <v>#REF!</v>
      </c>
    </row>
    <row r="1871" spans="1:11" outlineLevel="1">
      <c r="B1871" s="659"/>
      <c r="C1871" s="730" t="s">
        <v>871</v>
      </c>
      <c r="D1871" s="661"/>
      <c r="E1871" s="688"/>
      <c r="F1871" s="664" t="s">
        <v>21</v>
      </c>
      <c r="G1871" s="664">
        <f>0.3*4*2*1.1</f>
        <v>2.64</v>
      </c>
      <c r="H1871" s="174">
        <f>VLOOKUP(C1871,'UPAH-BAHAN'!D:F,2,0)</f>
        <v>15000</v>
      </c>
      <c r="I1871" s="631">
        <f t="shared" ref="I1871" si="62">H1871*G1871</f>
        <v>39600</v>
      </c>
      <c r="J1871" s="273"/>
      <c r="K1871" s="154" t="e">
        <f>VLOOKUP(A1871,#REF!,1,0)</f>
        <v>#REF!</v>
      </c>
    </row>
    <row r="1872" spans="1:11" outlineLevel="1">
      <c r="B1872" s="659"/>
      <c r="C1872" s="730" t="s">
        <v>949</v>
      </c>
      <c r="D1872" s="661"/>
      <c r="E1872" s="688"/>
      <c r="F1872" s="664" t="s">
        <v>20</v>
      </c>
      <c r="G1872" s="664">
        <v>1</v>
      </c>
      <c r="H1872" s="174">
        <v>100000</v>
      </c>
      <c r="I1872" s="631">
        <f t="shared" ref="I1872" si="63">H1872*G1872</f>
        <v>100000</v>
      </c>
      <c r="J1872" s="273"/>
      <c r="K1872" s="154" t="e">
        <f>VLOOKUP(A1872,#REF!,1,0)</f>
        <v>#REF!</v>
      </c>
    </row>
    <row r="1873" spans="2:11" outlineLevel="1">
      <c r="B1873" s="659"/>
      <c r="C1873" s="660" t="s">
        <v>950</v>
      </c>
      <c r="D1873" s="661"/>
      <c r="E1873" s="688"/>
      <c r="F1873" s="664" t="s">
        <v>615</v>
      </c>
      <c r="G1873" s="664">
        <v>0.3</v>
      </c>
      <c r="H1873" s="174">
        <f>SUM(H1870:H1872)</f>
        <v>140000</v>
      </c>
      <c r="I1873" s="631">
        <f t="shared" si="61"/>
        <v>42000</v>
      </c>
      <c r="J1873" s="273"/>
      <c r="K1873" s="154" t="e">
        <f>VLOOKUP(A1873,#REF!,1,0)</f>
        <v>#REF!</v>
      </c>
    </row>
    <row r="1874" spans="2:11" outlineLevel="1">
      <c r="B1874" s="659"/>
      <c r="C1874" s="660"/>
      <c r="D1874" s="661"/>
      <c r="E1874" s="688"/>
      <c r="F1874" s="662"/>
      <c r="G1874" s="660"/>
      <c r="H1874" s="666"/>
      <c r="I1874" s="666"/>
      <c r="J1874" s="273"/>
      <c r="K1874" s="154" t="e">
        <f>VLOOKUP(A1874,#REF!,1,0)</f>
        <v>#REF!</v>
      </c>
    </row>
    <row r="1875" spans="2:11" outlineLevel="1">
      <c r="B1875" s="659" t="s">
        <v>160</v>
      </c>
      <c r="C1875" s="660" t="s">
        <v>161</v>
      </c>
      <c r="D1875" s="661"/>
      <c r="E1875" s="673"/>
      <c r="F1875" s="663"/>
      <c r="G1875" s="663"/>
      <c r="H1875" s="663"/>
      <c r="I1875" s="666">
        <f>SUM(I1870:I1874)</f>
        <v>214600</v>
      </c>
      <c r="J1875" s="273"/>
      <c r="K1875" s="154" t="e">
        <f>VLOOKUP(A1875,#REF!,1,0)</f>
        <v>#REF!</v>
      </c>
    </row>
    <row r="1876" spans="2:11" outlineLevel="1">
      <c r="B1876" s="659" t="s">
        <v>162</v>
      </c>
      <c r="C1876" s="660" t="s">
        <v>82</v>
      </c>
      <c r="D1876" s="661"/>
      <c r="E1876" s="752"/>
      <c r="F1876" s="671"/>
      <c r="G1876" s="672">
        <f>$J$3</f>
        <v>0.15</v>
      </c>
      <c r="H1876" s="673"/>
      <c r="I1876" s="674">
        <f>I1875*G1876</f>
        <v>32190</v>
      </c>
      <c r="J1876" s="273"/>
      <c r="K1876" s="154" t="e">
        <f>VLOOKUP(A1876,#REF!,1,0)</f>
        <v>#REF!</v>
      </c>
    </row>
    <row r="1877" spans="2:11" outlineLevel="1">
      <c r="B1877" s="659" t="s">
        <v>163</v>
      </c>
      <c r="C1877" s="660" t="s">
        <v>164</v>
      </c>
      <c r="D1877" s="661"/>
      <c r="E1877" s="673"/>
      <c r="F1877" s="663"/>
      <c r="G1877" s="663"/>
      <c r="H1877" s="663"/>
      <c r="I1877" s="666">
        <f>I1876+I1875</f>
        <v>246790</v>
      </c>
      <c r="J1877" s="273"/>
      <c r="K1877" s="154" t="e">
        <f>VLOOKUP(A1877,#REF!,1,0)</f>
        <v>#REF!</v>
      </c>
    </row>
    <row r="1878" spans="2:11" outlineLevel="1">
      <c r="B1878" s="184"/>
      <c r="D1878" s="186"/>
      <c r="E1878" s="186"/>
      <c r="F1878" s="280"/>
      <c r="G1878" s="280"/>
      <c r="H1878" s="280"/>
      <c r="I1878" s="331"/>
      <c r="J1878" s="273"/>
      <c r="K1878" s="154" t="e">
        <f>VLOOKUP(A1878,#REF!,1,0)</f>
        <v>#REF!</v>
      </c>
    </row>
    <row r="1880" spans="2:11" ht="15" customHeight="1"/>
  </sheetData>
  <mergeCells count="100">
    <mergeCell ref="C1680:D1680"/>
    <mergeCell ref="C1700:D1700"/>
    <mergeCell ref="C1720:D1720"/>
    <mergeCell ref="C1868:D1868"/>
    <mergeCell ref="C1757:D1757"/>
    <mergeCell ref="C1797:D1797"/>
    <mergeCell ref="C1817:D1817"/>
    <mergeCell ref="C1837:D1837"/>
    <mergeCell ref="C1857:D1857"/>
    <mergeCell ref="C1741:D1741"/>
    <mergeCell ref="C1777:D1777"/>
    <mergeCell ref="C1660:D1660"/>
    <mergeCell ref="C1559:D1559"/>
    <mergeCell ref="C1599:D1599"/>
    <mergeCell ref="C389:D389"/>
    <mergeCell ref="C1417:D1417"/>
    <mergeCell ref="C1461:D1461"/>
    <mergeCell ref="C1481:D1481"/>
    <mergeCell ref="C1519:D1519"/>
    <mergeCell ref="C1352:D1352"/>
    <mergeCell ref="C1245:D1245"/>
    <mergeCell ref="C1267:D1267"/>
    <mergeCell ref="C1310:D1310"/>
    <mergeCell ref="C1331:D1331"/>
    <mergeCell ref="C1500:D1500"/>
    <mergeCell ref="C423:D423"/>
    <mergeCell ref="C842:D842"/>
    <mergeCell ref="G146:H146"/>
    <mergeCell ref="C1539:D1539"/>
    <mergeCell ref="C1579:D1579"/>
    <mergeCell ref="C1620:D1620"/>
    <mergeCell ref="C1640:D1640"/>
    <mergeCell ref="G1058:H1058"/>
    <mergeCell ref="C901:D901"/>
    <mergeCell ref="C923:D923"/>
    <mergeCell ref="C943:D943"/>
    <mergeCell ref="C1005:D1005"/>
    <mergeCell ref="C1025:D1025"/>
    <mergeCell ref="C1047:D1047"/>
    <mergeCell ref="C965:D965"/>
    <mergeCell ref="C985:D985"/>
    <mergeCell ref="C861:D861"/>
    <mergeCell ref="C880:D880"/>
    <mergeCell ref="C92:D92"/>
    <mergeCell ref="B3:I3"/>
    <mergeCell ref="C7:D7"/>
    <mergeCell ref="C45:D45"/>
    <mergeCell ref="C60:D60"/>
    <mergeCell ref="C76:D76"/>
    <mergeCell ref="G136:H136"/>
    <mergeCell ref="C142:D142"/>
    <mergeCell ref="C143:D143"/>
    <mergeCell ref="G143:H143"/>
    <mergeCell ref="C356:D356"/>
    <mergeCell ref="C194:D194"/>
    <mergeCell ref="C152:D152"/>
    <mergeCell ref="C173:D173"/>
    <mergeCell ref="C215:D215"/>
    <mergeCell ref="C144:D144"/>
    <mergeCell ref="C145:D145"/>
    <mergeCell ref="C146:D146"/>
    <mergeCell ref="C256:D256"/>
    <mergeCell ref="C294:D294"/>
    <mergeCell ref="C313:D313"/>
    <mergeCell ref="C335:D335"/>
    <mergeCell ref="C343:D343"/>
    <mergeCell ref="C355:D355"/>
    <mergeCell ref="C823:D823"/>
    <mergeCell ref="C802:D802"/>
    <mergeCell ref="C444:D444"/>
    <mergeCell ref="C464:D464"/>
    <mergeCell ref="C781:D781"/>
    <mergeCell ref="C739:D739"/>
    <mergeCell ref="C276:D276"/>
    <mergeCell ref="C336:D336"/>
    <mergeCell ref="C337:D337"/>
    <mergeCell ref="C110:D110"/>
    <mergeCell ref="C130:D130"/>
    <mergeCell ref="C236:D236"/>
    <mergeCell ref="C1223:D1223"/>
    <mergeCell ref="G1053:H1053"/>
    <mergeCell ref="C760:D760"/>
    <mergeCell ref="C362:D362"/>
    <mergeCell ref="C404:D404"/>
    <mergeCell ref="C1439:D1439"/>
    <mergeCell ref="G1061:H1061"/>
    <mergeCell ref="C1062:D1062"/>
    <mergeCell ref="C1088:D1088"/>
    <mergeCell ref="C25:D25"/>
    <mergeCell ref="C1289:D1289"/>
    <mergeCell ref="C1154:D1154"/>
    <mergeCell ref="C1068:D1068"/>
    <mergeCell ref="G1074:H1074"/>
    <mergeCell ref="G1078:H1078"/>
    <mergeCell ref="G1081:H1081"/>
    <mergeCell ref="C1082:D1082"/>
    <mergeCell ref="C1113:D1113"/>
    <mergeCell ref="C1133:D1133"/>
    <mergeCell ref="C1177:D1177"/>
    <mergeCell ref="C1202:D1202"/>
  </mergeCells>
  <printOptions horizontalCentered="1"/>
  <pageMargins left="0.78740157480314965" right="0.39370078740157483" top="0.59055118110236227" bottom="0.59055118110236227" header="0.31496062992125984" footer="0.39370078740157483"/>
  <pageSetup paperSize="9" scale="82" orientation="portrait" r:id="rId1"/>
  <headerFooter>
    <oddFooter>&amp;C&amp;P/&amp;N</oddFooter>
  </headerFooter>
  <rowBreaks count="22" manualBreakCount="22">
    <brk id="58" min="1" max="8" man="1"/>
    <brk id="116" min="1" max="8" man="1"/>
    <brk id="171" min="1" max="8" man="1"/>
    <brk id="227" min="1" max="8" man="1"/>
    <brk id="285" min="1" max="8" man="1"/>
    <brk id="343" min="1" max="8" man="1"/>
    <brk id="401" min="1" max="8" man="1"/>
    <brk id="582" min="1" max="8" man="1"/>
    <brk id="639" min="1" max="8" man="1"/>
    <brk id="696" min="1" max="8" man="1"/>
    <brk id="933" min="1" max="8" man="1"/>
    <brk id="991" min="1" max="8" man="1"/>
    <brk id="1044" min="1" max="8" man="1"/>
    <brk id="1103" min="1" max="8" man="1"/>
    <brk id="1160" min="1" max="8" man="1"/>
    <brk id="1279" min="1" max="8" man="1"/>
    <brk id="1337" min="1" max="8" man="1"/>
    <brk id="1394" min="1" max="8" man="1"/>
    <brk id="1455" min="1" max="8" man="1"/>
    <brk id="1513" min="1" max="8" man="1"/>
    <brk id="1630" min="1" max="8" man="1"/>
    <brk id="1866" min="1" max="8" man="1"/>
  </rowBreaks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 sizeWithCells="1">
              <from>
                <xdr:col>0</xdr:col>
                <xdr:colOff>640080</xdr:colOff>
                <xdr:row>780</xdr:row>
                <xdr:rowOff>0</xdr:rowOff>
              </from>
              <to>
                <xdr:col>0</xdr:col>
                <xdr:colOff>640080</xdr:colOff>
                <xdr:row>780</xdr:row>
                <xdr:rowOff>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5" r:id="rId6">
          <objectPr defaultSize="0" autoPict="0" r:id="rId5">
            <anchor moveWithCells="1" sizeWithCells="1">
              <from>
                <xdr:col>0</xdr:col>
                <xdr:colOff>640080</xdr:colOff>
                <xdr:row>780</xdr:row>
                <xdr:rowOff>0</xdr:rowOff>
              </from>
              <to>
                <xdr:col>0</xdr:col>
                <xdr:colOff>640080</xdr:colOff>
                <xdr:row>780</xdr:row>
                <xdr:rowOff>0</xdr:rowOff>
              </to>
            </anchor>
          </objectPr>
        </oleObject>
      </mc:Choice>
      <mc:Fallback>
        <oleObject progId="Equation.3" shapeId="3075" r:id="rId6"/>
      </mc:Fallback>
    </mc:AlternateContent>
    <mc:AlternateContent xmlns:mc="http://schemas.openxmlformats.org/markup-compatibility/2006">
      <mc:Choice Requires="x14">
        <oleObject progId="Equation.3" shapeId="3077" r:id="rId7">
          <objectPr defaultSize="0" autoPict="0" r:id="rId5">
            <anchor moveWithCells="1" sizeWithCells="1">
              <from>
                <xdr:col>0</xdr:col>
                <xdr:colOff>640080</xdr:colOff>
                <xdr:row>780</xdr:row>
                <xdr:rowOff>0</xdr:rowOff>
              </from>
              <to>
                <xdr:col>0</xdr:col>
                <xdr:colOff>640080</xdr:colOff>
                <xdr:row>780</xdr:row>
                <xdr:rowOff>0</xdr:rowOff>
              </to>
            </anchor>
          </objectPr>
        </oleObject>
      </mc:Choice>
      <mc:Fallback>
        <oleObject progId="Equation.3" shapeId="3077" r:id="rId7"/>
      </mc:Fallback>
    </mc:AlternateContent>
    <mc:AlternateContent xmlns:mc="http://schemas.openxmlformats.org/markup-compatibility/2006">
      <mc:Choice Requires="x14">
        <oleObject progId="Equation.3" shapeId="3078" r:id="rId8">
          <objectPr defaultSize="0" autoPict="0" r:id="rId5">
            <anchor moveWithCells="1" sizeWithCells="1">
              <from>
                <xdr:col>0</xdr:col>
                <xdr:colOff>640080</xdr:colOff>
                <xdr:row>780</xdr:row>
                <xdr:rowOff>0</xdr:rowOff>
              </from>
              <to>
                <xdr:col>0</xdr:col>
                <xdr:colOff>640080</xdr:colOff>
                <xdr:row>780</xdr:row>
                <xdr:rowOff>0</xdr:rowOff>
              </to>
            </anchor>
          </objectPr>
        </oleObject>
      </mc:Choice>
      <mc:Fallback>
        <oleObject progId="Equation.3" shapeId="3078" r:id="rId8"/>
      </mc:Fallback>
    </mc:AlternateContent>
    <mc:AlternateContent xmlns:mc="http://schemas.openxmlformats.org/markup-compatibility/2006">
      <mc:Choice Requires="x14">
        <oleObject progId="Equation.3" shapeId="3079" r:id="rId9">
          <objectPr defaultSize="0" autoPict="0" r:id="rId5">
            <anchor moveWithCells="1" sizeWithCells="1">
              <from>
                <xdr:col>0</xdr:col>
                <xdr:colOff>640080</xdr:colOff>
                <xdr:row>822</xdr:row>
                <xdr:rowOff>0</xdr:rowOff>
              </from>
              <to>
                <xdr:col>0</xdr:col>
                <xdr:colOff>640080</xdr:colOff>
                <xdr:row>822</xdr:row>
                <xdr:rowOff>0</xdr:rowOff>
              </to>
            </anchor>
          </objectPr>
        </oleObject>
      </mc:Choice>
      <mc:Fallback>
        <oleObject progId="Equation.3" shapeId="3079" r:id="rId9"/>
      </mc:Fallback>
    </mc:AlternateContent>
    <mc:AlternateContent xmlns:mc="http://schemas.openxmlformats.org/markup-compatibility/2006">
      <mc:Choice Requires="x14">
        <oleObject progId="Equation.3" shapeId="3080" r:id="rId10">
          <objectPr defaultSize="0" autoPict="0" r:id="rId5">
            <anchor moveWithCells="1" sizeWithCells="1">
              <from>
                <xdr:col>0</xdr:col>
                <xdr:colOff>640080</xdr:colOff>
                <xdr:row>822</xdr:row>
                <xdr:rowOff>0</xdr:rowOff>
              </from>
              <to>
                <xdr:col>0</xdr:col>
                <xdr:colOff>640080</xdr:colOff>
                <xdr:row>822</xdr:row>
                <xdr:rowOff>0</xdr:rowOff>
              </to>
            </anchor>
          </objectPr>
        </oleObject>
      </mc:Choice>
      <mc:Fallback>
        <oleObject progId="Equation.3" shapeId="3080" r:id="rId10"/>
      </mc:Fallback>
    </mc:AlternateContent>
    <mc:AlternateContent xmlns:mc="http://schemas.openxmlformats.org/markup-compatibility/2006">
      <mc:Choice Requires="x14">
        <oleObject progId="Equation.3" shapeId="3081" r:id="rId11">
          <objectPr defaultSize="0" autoPict="0" r:id="rId5">
            <anchor moveWithCells="1" sizeWithCells="1">
              <from>
                <xdr:col>0</xdr:col>
                <xdr:colOff>640080</xdr:colOff>
                <xdr:row>822</xdr:row>
                <xdr:rowOff>0</xdr:rowOff>
              </from>
              <to>
                <xdr:col>0</xdr:col>
                <xdr:colOff>640080</xdr:colOff>
                <xdr:row>822</xdr:row>
                <xdr:rowOff>0</xdr:rowOff>
              </to>
            </anchor>
          </objectPr>
        </oleObject>
      </mc:Choice>
      <mc:Fallback>
        <oleObject progId="Equation.3" shapeId="3081" r:id="rId11"/>
      </mc:Fallback>
    </mc:AlternateContent>
    <mc:AlternateContent xmlns:mc="http://schemas.openxmlformats.org/markup-compatibility/2006">
      <mc:Choice Requires="x14">
        <oleObject progId="Equation.3" shapeId="3082" r:id="rId12">
          <objectPr defaultSize="0" autoPict="0" r:id="rId5">
            <anchor moveWithCells="1" sizeWithCells="1">
              <from>
                <xdr:col>0</xdr:col>
                <xdr:colOff>640080</xdr:colOff>
                <xdr:row>822</xdr:row>
                <xdr:rowOff>0</xdr:rowOff>
              </from>
              <to>
                <xdr:col>0</xdr:col>
                <xdr:colOff>640080</xdr:colOff>
                <xdr:row>822</xdr:row>
                <xdr:rowOff>0</xdr:rowOff>
              </to>
            </anchor>
          </objectPr>
        </oleObject>
      </mc:Choice>
      <mc:Fallback>
        <oleObject progId="Equation.3" shapeId="3082" r:id="rId12"/>
      </mc:Fallback>
    </mc:AlternateContent>
    <mc:AlternateContent xmlns:mc="http://schemas.openxmlformats.org/markup-compatibility/2006">
      <mc:Choice Requires="x14">
        <oleObject progId="Equation.3" shapeId="3091" r:id="rId13">
          <objectPr defaultSize="0" autoPict="0" r:id="rId5">
            <anchor moveWithCells="1" sizeWithCells="1">
              <from>
                <xdr:col>0</xdr:col>
                <xdr:colOff>640080</xdr:colOff>
                <xdr:row>860</xdr:row>
                <xdr:rowOff>0</xdr:rowOff>
              </from>
              <to>
                <xdr:col>0</xdr:col>
                <xdr:colOff>640080</xdr:colOff>
                <xdr:row>860</xdr:row>
                <xdr:rowOff>0</xdr:rowOff>
              </to>
            </anchor>
          </objectPr>
        </oleObject>
      </mc:Choice>
      <mc:Fallback>
        <oleObject progId="Equation.3" shapeId="3091" r:id="rId13"/>
      </mc:Fallback>
    </mc:AlternateContent>
    <mc:AlternateContent xmlns:mc="http://schemas.openxmlformats.org/markup-compatibility/2006">
      <mc:Choice Requires="x14">
        <oleObject progId="Equation.3" shapeId="3092" r:id="rId14">
          <objectPr defaultSize="0" autoPict="0" r:id="rId5">
            <anchor moveWithCells="1" sizeWithCells="1">
              <from>
                <xdr:col>0</xdr:col>
                <xdr:colOff>640080</xdr:colOff>
                <xdr:row>860</xdr:row>
                <xdr:rowOff>0</xdr:rowOff>
              </from>
              <to>
                <xdr:col>0</xdr:col>
                <xdr:colOff>640080</xdr:colOff>
                <xdr:row>860</xdr:row>
                <xdr:rowOff>0</xdr:rowOff>
              </to>
            </anchor>
          </objectPr>
        </oleObject>
      </mc:Choice>
      <mc:Fallback>
        <oleObject progId="Equation.3" shapeId="3092" r:id="rId14"/>
      </mc:Fallback>
    </mc:AlternateContent>
    <mc:AlternateContent xmlns:mc="http://schemas.openxmlformats.org/markup-compatibility/2006">
      <mc:Choice Requires="x14">
        <oleObject progId="Equation.3" shapeId="3093" r:id="rId15">
          <objectPr defaultSize="0" autoPict="0" r:id="rId5">
            <anchor moveWithCells="1" sizeWithCells="1">
              <from>
                <xdr:col>0</xdr:col>
                <xdr:colOff>640080</xdr:colOff>
                <xdr:row>860</xdr:row>
                <xdr:rowOff>0</xdr:rowOff>
              </from>
              <to>
                <xdr:col>0</xdr:col>
                <xdr:colOff>640080</xdr:colOff>
                <xdr:row>860</xdr:row>
                <xdr:rowOff>0</xdr:rowOff>
              </to>
            </anchor>
          </objectPr>
        </oleObject>
      </mc:Choice>
      <mc:Fallback>
        <oleObject progId="Equation.3" shapeId="3093" r:id="rId15"/>
      </mc:Fallback>
    </mc:AlternateContent>
    <mc:AlternateContent xmlns:mc="http://schemas.openxmlformats.org/markup-compatibility/2006">
      <mc:Choice Requires="x14">
        <oleObject progId="Equation.3" shapeId="3094" r:id="rId16">
          <objectPr defaultSize="0" autoPict="0" r:id="rId5">
            <anchor moveWithCells="1" sizeWithCells="1">
              <from>
                <xdr:col>0</xdr:col>
                <xdr:colOff>640080</xdr:colOff>
                <xdr:row>860</xdr:row>
                <xdr:rowOff>0</xdr:rowOff>
              </from>
              <to>
                <xdr:col>0</xdr:col>
                <xdr:colOff>640080</xdr:colOff>
                <xdr:row>860</xdr:row>
                <xdr:rowOff>0</xdr:rowOff>
              </to>
            </anchor>
          </objectPr>
        </oleObject>
      </mc:Choice>
      <mc:Fallback>
        <oleObject progId="Equation.3" shapeId="3094" r:id="rId16"/>
      </mc:Fallback>
    </mc:AlternateContent>
    <mc:AlternateContent xmlns:mc="http://schemas.openxmlformats.org/markup-compatibility/2006">
      <mc:Choice Requires="x14">
        <oleObject progId="Equation.3" shapeId="3095" r:id="rId17">
          <objectPr defaultSize="0" autoPict="0" r:id="rId5">
            <anchor moveWithCells="1" sizeWithCells="1">
              <from>
                <xdr:col>0</xdr:col>
                <xdr:colOff>640080</xdr:colOff>
                <xdr:row>1153</xdr:row>
                <xdr:rowOff>0</xdr:rowOff>
              </from>
              <to>
                <xdr:col>0</xdr:col>
                <xdr:colOff>640080</xdr:colOff>
                <xdr:row>1153</xdr:row>
                <xdr:rowOff>0</xdr:rowOff>
              </to>
            </anchor>
          </objectPr>
        </oleObject>
      </mc:Choice>
      <mc:Fallback>
        <oleObject progId="Equation.3" shapeId="3095" r:id="rId17"/>
      </mc:Fallback>
    </mc:AlternateContent>
    <mc:AlternateContent xmlns:mc="http://schemas.openxmlformats.org/markup-compatibility/2006">
      <mc:Choice Requires="x14">
        <oleObject progId="Equation.3" shapeId="3096" r:id="rId18">
          <objectPr defaultSize="0" autoPict="0" r:id="rId5">
            <anchor moveWithCells="1" sizeWithCells="1">
              <from>
                <xdr:col>0</xdr:col>
                <xdr:colOff>640080</xdr:colOff>
                <xdr:row>1153</xdr:row>
                <xdr:rowOff>0</xdr:rowOff>
              </from>
              <to>
                <xdr:col>0</xdr:col>
                <xdr:colOff>640080</xdr:colOff>
                <xdr:row>1153</xdr:row>
                <xdr:rowOff>0</xdr:rowOff>
              </to>
            </anchor>
          </objectPr>
        </oleObject>
      </mc:Choice>
      <mc:Fallback>
        <oleObject progId="Equation.3" shapeId="3096" r:id="rId18"/>
      </mc:Fallback>
    </mc:AlternateContent>
    <mc:AlternateContent xmlns:mc="http://schemas.openxmlformats.org/markup-compatibility/2006">
      <mc:Choice Requires="x14">
        <oleObject progId="Equation.3" shapeId="3097" r:id="rId19">
          <objectPr defaultSize="0" autoPict="0" r:id="rId5">
            <anchor moveWithCells="1" sizeWithCells="1">
              <from>
                <xdr:col>0</xdr:col>
                <xdr:colOff>640080</xdr:colOff>
                <xdr:row>1153</xdr:row>
                <xdr:rowOff>0</xdr:rowOff>
              </from>
              <to>
                <xdr:col>0</xdr:col>
                <xdr:colOff>640080</xdr:colOff>
                <xdr:row>1153</xdr:row>
                <xdr:rowOff>0</xdr:rowOff>
              </to>
            </anchor>
          </objectPr>
        </oleObject>
      </mc:Choice>
      <mc:Fallback>
        <oleObject progId="Equation.3" shapeId="3097" r:id="rId19"/>
      </mc:Fallback>
    </mc:AlternateContent>
    <mc:AlternateContent xmlns:mc="http://schemas.openxmlformats.org/markup-compatibility/2006">
      <mc:Choice Requires="x14">
        <oleObject progId="Equation.3" shapeId="3098" r:id="rId20">
          <objectPr defaultSize="0" autoPict="0" r:id="rId5">
            <anchor moveWithCells="1" sizeWithCells="1">
              <from>
                <xdr:col>0</xdr:col>
                <xdr:colOff>640080</xdr:colOff>
                <xdr:row>1153</xdr:row>
                <xdr:rowOff>0</xdr:rowOff>
              </from>
              <to>
                <xdr:col>0</xdr:col>
                <xdr:colOff>640080</xdr:colOff>
                <xdr:row>1153</xdr:row>
                <xdr:rowOff>0</xdr:rowOff>
              </to>
            </anchor>
          </objectPr>
        </oleObject>
      </mc:Choice>
      <mc:Fallback>
        <oleObject progId="Equation.3" shapeId="3098" r:id="rId20"/>
      </mc:Fallback>
    </mc:AlternateContent>
    <mc:AlternateContent xmlns:mc="http://schemas.openxmlformats.org/markup-compatibility/2006">
      <mc:Choice Requires="x14">
        <oleObject progId="Equation.3" shapeId="3099" r:id="rId21">
          <objectPr defaultSize="0" autoPict="0" r:id="rId5">
            <anchor moveWithCells="1" sizeWithCells="1">
              <from>
                <xdr:col>0</xdr:col>
                <xdr:colOff>640080</xdr:colOff>
                <xdr:row>1176</xdr:row>
                <xdr:rowOff>0</xdr:rowOff>
              </from>
              <to>
                <xdr:col>0</xdr:col>
                <xdr:colOff>640080</xdr:colOff>
                <xdr:row>1176</xdr:row>
                <xdr:rowOff>0</xdr:rowOff>
              </to>
            </anchor>
          </objectPr>
        </oleObject>
      </mc:Choice>
      <mc:Fallback>
        <oleObject progId="Equation.3" shapeId="3099" r:id="rId21"/>
      </mc:Fallback>
    </mc:AlternateContent>
    <mc:AlternateContent xmlns:mc="http://schemas.openxmlformats.org/markup-compatibility/2006">
      <mc:Choice Requires="x14">
        <oleObject progId="Equation.3" shapeId="3100" r:id="rId22">
          <objectPr defaultSize="0" autoPict="0" r:id="rId5">
            <anchor moveWithCells="1" sizeWithCells="1">
              <from>
                <xdr:col>0</xdr:col>
                <xdr:colOff>640080</xdr:colOff>
                <xdr:row>1176</xdr:row>
                <xdr:rowOff>0</xdr:rowOff>
              </from>
              <to>
                <xdr:col>0</xdr:col>
                <xdr:colOff>640080</xdr:colOff>
                <xdr:row>1176</xdr:row>
                <xdr:rowOff>0</xdr:rowOff>
              </to>
            </anchor>
          </objectPr>
        </oleObject>
      </mc:Choice>
      <mc:Fallback>
        <oleObject progId="Equation.3" shapeId="3100" r:id="rId22"/>
      </mc:Fallback>
    </mc:AlternateContent>
    <mc:AlternateContent xmlns:mc="http://schemas.openxmlformats.org/markup-compatibility/2006">
      <mc:Choice Requires="x14">
        <oleObject progId="Equation.3" shapeId="3101" r:id="rId23">
          <objectPr defaultSize="0" autoPict="0" r:id="rId5">
            <anchor moveWithCells="1" sizeWithCells="1">
              <from>
                <xdr:col>0</xdr:col>
                <xdr:colOff>640080</xdr:colOff>
                <xdr:row>1176</xdr:row>
                <xdr:rowOff>0</xdr:rowOff>
              </from>
              <to>
                <xdr:col>0</xdr:col>
                <xdr:colOff>640080</xdr:colOff>
                <xdr:row>1176</xdr:row>
                <xdr:rowOff>0</xdr:rowOff>
              </to>
            </anchor>
          </objectPr>
        </oleObject>
      </mc:Choice>
      <mc:Fallback>
        <oleObject progId="Equation.3" shapeId="3101" r:id="rId23"/>
      </mc:Fallback>
    </mc:AlternateContent>
    <mc:AlternateContent xmlns:mc="http://schemas.openxmlformats.org/markup-compatibility/2006">
      <mc:Choice Requires="x14">
        <oleObject progId="Equation.3" shapeId="3102" r:id="rId24">
          <objectPr defaultSize="0" autoPict="0" r:id="rId5">
            <anchor moveWithCells="1" sizeWithCells="1">
              <from>
                <xdr:col>0</xdr:col>
                <xdr:colOff>640080</xdr:colOff>
                <xdr:row>1176</xdr:row>
                <xdr:rowOff>0</xdr:rowOff>
              </from>
              <to>
                <xdr:col>0</xdr:col>
                <xdr:colOff>640080</xdr:colOff>
                <xdr:row>1176</xdr:row>
                <xdr:rowOff>0</xdr:rowOff>
              </to>
            </anchor>
          </objectPr>
        </oleObject>
      </mc:Choice>
      <mc:Fallback>
        <oleObject progId="Equation.3" shapeId="3102" r:id="rId24"/>
      </mc:Fallback>
    </mc:AlternateContent>
    <mc:AlternateContent xmlns:mc="http://schemas.openxmlformats.org/markup-compatibility/2006">
      <mc:Choice Requires="x14">
        <oleObject progId="Equation.3" shapeId="3103" r:id="rId25">
          <objectPr defaultSize="0" autoPict="0" r:id="rId5">
            <anchor moveWithCells="1" sizeWithCells="1">
              <from>
                <xdr:col>0</xdr:col>
                <xdr:colOff>640080</xdr:colOff>
                <xdr:row>841</xdr:row>
                <xdr:rowOff>0</xdr:rowOff>
              </from>
              <to>
                <xdr:col>0</xdr:col>
                <xdr:colOff>640080</xdr:colOff>
                <xdr:row>841</xdr:row>
                <xdr:rowOff>0</xdr:rowOff>
              </to>
            </anchor>
          </objectPr>
        </oleObject>
      </mc:Choice>
      <mc:Fallback>
        <oleObject progId="Equation.3" shapeId="3103" r:id="rId25"/>
      </mc:Fallback>
    </mc:AlternateContent>
    <mc:AlternateContent xmlns:mc="http://schemas.openxmlformats.org/markup-compatibility/2006">
      <mc:Choice Requires="x14">
        <oleObject progId="Equation.3" shapeId="3104" r:id="rId26">
          <objectPr defaultSize="0" autoPict="0" r:id="rId5">
            <anchor moveWithCells="1" sizeWithCells="1">
              <from>
                <xdr:col>0</xdr:col>
                <xdr:colOff>640080</xdr:colOff>
                <xdr:row>841</xdr:row>
                <xdr:rowOff>0</xdr:rowOff>
              </from>
              <to>
                <xdr:col>0</xdr:col>
                <xdr:colOff>640080</xdr:colOff>
                <xdr:row>841</xdr:row>
                <xdr:rowOff>0</xdr:rowOff>
              </to>
            </anchor>
          </objectPr>
        </oleObject>
      </mc:Choice>
      <mc:Fallback>
        <oleObject progId="Equation.3" shapeId="3104" r:id="rId26"/>
      </mc:Fallback>
    </mc:AlternateContent>
    <mc:AlternateContent xmlns:mc="http://schemas.openxmlformats.org/markup-compatibility/2006">
      <mc:Choice Requires="x14">
        <oleObject progId="Equation.3" shapeId="3105" r:id="rId27">
          <objectPr defaultSize="0" autoPict="0" r:id="rId5">
            <anchor moveWithCells="1" sizeWithCells="1">
              <from>
                <xdr:col>0</xdr:col>
                <xdr:colOff>640080</xdr:colOff>
                <xdr:row>841</xdr:row>
                <xdr:rowOff>0</xdr:rowOff>
              </from>
              <to>
                <xdr:col>0</xdr:col>
                <xdr:colOff>640080</xdr:colOff>
                <xdr:row>841</xdr:row>
                <xdr:rowOff>0</xdr:rowOff>
              </to>
            </anchor>
          </objectPr>
        </oleObject>
      </mc:Choice>
      <mc:Fallback>
        <oleObject progId="Equation.3" shapeId="3105" r:id="rId27"/>
      </mc:Fallback>
    </mc:AlternateContent>
    <mc:AlternateContent xmlns:mc="http://schemas.openxmlformats.org/markup-compatibility/2006">
      <mc:Choice Requires="x14">
        <oleObject progId="Equation.3" shapeId="3106" r:id="rId28">
          <objectPr defaultSize="0" autoPict="0" r:id="rId5">
            <anchor moveWithCells="1" sizeWithCells="1">
              <from>
                <xdr:col>0</xdr:col>
                <xdr:colOff>640080</xdr:colOff>
                <xdr:row>841</xdr:row>
                <xdr:rowOff>0</xdr:rowOff>
              </from>
              <to>
                <xdr:col>0</xdr:col>
                <xdr:colOff>640080</xdr:colOff>
                <xdr:row>841</xdr:row>
                <xdr:rowOff>0</xdr:rowOff>
              </to>
            </anchor>
          </objectPr>
        </oleObject>
      </mc:Choice>
      <mc:Fallback>
        <oleObject progId="Equation.3" shapeId="3106" r:id="rId28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B3:K173"/>
  <sheetViews>
    <sheetView view="pageBreakPreview" topLeftCell="A90" zoomScaleSheetLayoutView="100" workbookViewId="0">
      <selection activeCell="G63" sqref="G63"/>
    </sheetView>
  </sheetViews>
  <sheetFormatPr defaultRowHeight="15"/>
  <cols>
    <col min="1" max="1" width="9.21875" style="1051"/>
    <col min="2" max="3" width="4.77734375" style="1051" customWidth="1"/>
    <col min="4" max="4" width="47.44140625" style="1051" customWidth="1"/>
    <col min="5" max="5" width="19.109375" style="1051" customWidth="1"/>
    <col min="6" max="6" width="12.21875" style="1051" customWidth="1"/>
    <col min="7" max="7" width="9.44140625" style="1050" customWidth="1"/>
    <col min="8" max="8" width="9.21875" style="1051"/>
    <col min="9" max="9" width="39.77734375" style="1051" customWidth="1"/>
    <col min="10" max="10" width="17.5546875" style="1051" customWidth="1"/>
    <col min="11" max="250" width="9.21875" style="1051"/>
    <col min="251" max="251" width="5.5546875" style="1051" customWidth="1"/>
    <col min="252" max="252" width="43.5546875" style="1051" customWidth="1"/>
    <col min="253" max="253" width="18.77734375" style="1051" customWidth="1"/>
    <col min="254" max="255" width="9.44140625" style="1051" customWidth="1"/>
    <col min="256" max="256" width="19.44140625" style="1051" customWidth="1"/>
    <col min="257" max="257" width="17.44140625" style="1051" customWidth="1"/>
    <col min="258" max="506" width="9.21875" style="1051"/>
    <col min="507" max="507" width="5.5546875" style="1051" customWidth="1"/>
    <col min="508" max="508" width="43.5546875" style="1051" customWidth="1"/>
    <col min="509" max="509" width="18.77734375" style="1051" customWidth="1"/>
    <col min="510" max="511" width="9.44140625" style="1051" customWidth="1"/>
    <col min="512" max="512" width="19.44140625" style="1051" customWidth="1"/>
    <col min="513" max="513" width="17.44140625" style="1051" customWidth="1"/>
    <col min="514" max="762" width="9.21875" style="1051"/>
    <col min="763" max="763" width="5.5546875" style="1051" customWidth="1"/>
    <col min="764" max="764" width="43.5546875" style="1051" customWidth="1"/>
    <col min="765" max="765" width="18.77734375" style="1051" customWidth="1"/>
    <col min="766" max="767" width="9.44140625" style="1051" customWidth="1"/>
    <col min="768" max="768" width="19.44140625" style="1051" customWidth="1"/>
    <col min="769" max="769" width="17.44140625" style="1051" customWidth="1"/>
    <col min="770" max="1018" width="9.21875" style="1051"/>
    <col min="1019" max="1019" width="5.5546875" style="1051" customWidth="1"/>
    <col min="1020" max="1020" width="43.5546875" style="1051" customWidth="1"/>
    <col min="1021" max="1021" width="18.77734375" style="1051" customWidth="1"/>
    <col min="1022" max="1023" width="9.44140625" style="1051" customWidth="1"/>
    <col min="1024" max="1024" width="19.44140625" style="1051" customWidth="1"/>
    <col min="1025" max="1025" width="17.44140625" style="1051" customWidth="1"/>
    <col min="1026" max="1274" width="9.21875" style="1051"/>
    <col min="1275" max="1275" width="5.5546875" style="1051" customWidth="1"/>
    <col min="1276" max="1276" width="43.5546875" style="1051" customWidth="1"/>
    <col min="1277" max="1277" width="18.77734375" style="1051" customWidth="1"/>
    <col min="1278" max="1279" width="9.44140625" style="1051" customWidth="1"/>
    <col min="1280" max="1280" width="19.44140625" style="1051" customWidth="1"/>
    <col min="1281" max="1281" width="17.44140625" style="1051" customWidth="1"/>
    <col min="1282" max="1530" width="9.21875" style="1051"/>
    <col min="1531" max="1531" width="5.5546875" style="1051" customWidth="1"/>
    <col min="1532" max="1532" width="43.5546875" style="1051" customWidth="1"/>
    <col min="1533" max="1533" width="18.77734375" style="1051" customWidth="1"/>
    <col min="1534" max="1535" width="9.44140625" style="1051" customWidth="1"/>
    <col min="1536" max="1536" width="19.44140625" style="1051" customWidth="1"/>
    <col min="1537" max="1537" width="17.44140625" style="1051" customWidth="1"/>
    <col min="1538" max="1786" width="9.21875" style="1051"/>
    <col min="1787" max="1787" width="5.5546875" style="1051" customWidth="1"/>
    <col min="1788" max="1788" width="43.5546875" style="1051" customWidth="1"/>
    <col min="1789" max="1789" width="18.77734375" style="1051" customWidth="1"/>
    <col min="1790" max="1791" width="9.44140625" style="1051" customWidth="1"/>
    <col min="1792" max="1792" width="19.44140625" style="1051" customWidth="1"/>
    <col min="1793" max="1793" width="17.44140625" style="1051" customWidth="1"/>
    <col min="1794" max="2042" width="9.21875" style="1051"/>
    <col min="2043" max="2043" width="5.5546875" style="1051" customWidth="1"/>
    <col min="2044" max="2044" width="43.5546875" style="1051" customWidth="1"/>
    <col min="2045" max="2045" width="18.77734375" style="1051" customWidth="1"/>
    <col min="2046" max="2047" width="9.44140625" style="1051" customWidth="1"/>
    <col min="2048" max="2048" width="19.44140625" style="1051" customWidth="1"/>
    <col min="2049" max="2049" width="17.44140625" style="1051" customWidth="1"/>
    <col min="2050" max="2298" width="9.21875" style="1051"/>
    <col min="2299" max="2299" width="5.5546875" style="1051" customWidth="1"/>
    <col min="2300" max="2300" width="43.5546875" style="1051" customWidth="1"/>
    <col min="2301" max="2301" width="18.77734375" style="1051" customWidth="1"/>
    <col min="2302" max="2303" width="9.44140625" style="1051" customWidth="1"/>
    <col min="2304" max="2304" width="19.44140625" style="1051" customWidth="1"/>
    <col min="2305" max="2305" width="17.44140625" style="1051" customWidth="1"/>
    <col min="2306" max="2554" width="9.21875" style="1051"/>
    <col min="2555" max="2555" width="5.5546875" style="1051" customWidth="1"/>
    <col min="2556" max="2556" width="43.5546875" style="1051" customWidth="1"/>
    <col min="2557" max="2557" width="18.77734375" style="1051" customWidth="1"/>
    <col min="2558" max="2559" width="9.44140625" style="1051" customWidth="1"/>
    <col min="2560" max="2560" width="19.44140625" style="1051" customWidth="1"/>
    <col min="2561" max="2561" width="17.44140625" style="1051" customWidth="1"/>
    <col min="2562" max="2810" width="9.21875" style="1051"/>
    <col min="2811" max="2811" width="5.5546875" style="1051" customWidth="1"/>
    <col min="2812" max="2812" width="43.5546875" style="1051" customWidth="1"/>
    <col min="2813" max="2813" width="18.77734375" style="1051" customWidth="1"/>
    <col min="2814" max="2815" width="9.44140625" style="1051" customWidth="1"/>
    <col min="2816" max="2816" width="19.44140625" style="1051" customWidth="1"/>
    <col min="2817" max="2817" width="17.44140625" style="1051" customWidth="1"/>
    <col min="2818" max="3066" width="9.21875" style="1051"/>
    <col min="3067" max="3067" width="5.5546875" style="1051" customWidth="1"/>
    <col min="3068" max="3068" width="43.5546875" style="1051" customWidth="1"/>
    <col min="3069" max="3069" width="18.77734375" style="1051" customWidth="1"/>
    <col min="3070" max="3071" width="9.44140625" style="1051" customWidth="1"/>
    <col min="3072" max="3072" width="19.44140625" style="1051" customWidth="1"/>
    <col min="3073" max="3073" width="17.44140625" style="1051" customWidth="1"/>
    <col min="3074" max="3322" width="9.21875" style="1051"/>
    <col min="3323" max="3323" width="5.5546875" style="1051" customWidth="1"/>
    <col min="3324" max="3324" width="43.5546875" style="1051" customWidth="1"/>
    <col min="3325" max="3325" width="18.77734375" style="1051" customWidth="1"/>
    <col min="3326" max="3327" width="9.44140625" style="1051" customWidth="1"/>
    <col min="3328" max="3328" width="19.44140625" style="1051" customWidth="1"/>
    <col min="3329" max="3329" width="17.44140625" style="1051" customWidth="1"/>
    <col min="3330" max="3578" width="9.21875" style="1051"/>
    <col min="3579" max="3579" width="5.5546875" style="1051" customWidth="1"/>
    <col min="3580" max="3580" width="43.5546875" style="1051" customWidth="1"/>
    <col min="3581" max="3581" width="18.77734375" style="1051" customWidth="1"/>
    <col min="3582" max="3583" width="9.44140625" style="1051" customWidth="1"/>
    <col min="3584" max="3584" width="19.44140625" style="1051" customWidth="1"/>
    <col min="3585" max="3585" width="17.44140625" style="1051" customWidth="1"/>
    <col min="3586" max="3834" width="9.21875" style="1051"/>
    <col min="3835" max="3835" width="5.5546875" style="1051" customWidth="1"/>
    <col min="3836" max="3836" width="43.5546875" style="1051" customWidth="1"/>
    <col min="3837" max="3837" width="18.77734375" style="1051" customWidth="1"/>
    <col min="3838" max="3839" width="9.44140625" style="1051" customWidth="1"/>
    <col min="3840" max="3840" width="19.44140625" style="1051" customWidth="1"/>
    <col min="3841" max="3841" width="17.44140625" style="1051" customWidth="1"/>
    <col min="3842" max="4090" width="9.21875" style="1051"/>
    <col min="4091" max="4091" width="5.5546875" style="1051" customWidth="1"/>
    <col min="4092" max="4092" width="43.5546875" style="1051" customWidth="1"/>
    <col min="4093" max="4093" width="18.77734375" style="1051" customWidth="1"/>
    <col min="4094" max="4095" width="9.44140625" style="1051" customWidth="1"/>
    <col min="4096" max="4096" width="19.44140625" style="1051" customWidth="1"/>
    <col min="4097" max="4097" width="17.44140625" style="1051" customWidth="1"/>
    <col min="4098" max="4346" width="9.21875" style="1051"/>
    <col min="4347" max="4347" width="5.5546875" style="1051" customWidth="1"/>
    <col min="4348" max="4348" width="43.5546875" style="1051" customWidth="1"/>
    <col min="4349" max="4349" width="18.77734375" style="1051" customWidth="1"/>
    <col min="4350" max="4351" width="9.44140625" style="1051" customWidth="1"/>
    <col min="4352" max="4352" width="19.44140625" style="1051" customWidth="1"/>
    <col min="4353" max="4353" width="17.44140625" style="1051" customWidth="1"/>
    <col min="4354" max="4602" width="9.21875" style="1051"/>
    <col min="4603" max="4603" width="5.5546875" style="1051" customWidth="1"/>
    <col min="4604" max="4604" width="43.5546875" style="1051" customWidth="1"/>
    <col min="4605" max="4605" width="18.77734375" style="1051" customWidth="1"/>
    <col min="4606" max="4607" width="9.44140625" style="1051" customWidth="1"/>
    <col min="4608" max="4608" width="19.44140625" style="1051" customWidth="1"/>
    <col min="4609" max="4609" width="17.44140625" style="1051" customWidth="1"/>
    <col min="4610" max="4858" width="9.21875" style="1051"/>
    <col min="4859" max="4859" width="5.5546875" style="1051" customWidth="1"/>
    <col min="4860" max="4860" width="43.5546875" style="1051" customWidth="1"/>
    <col min="4861" max="4861" width="18.77734375" style="1051" customWidth="1"/>
    <col min="4862" max="4863" width="9.44140625" style="1051" customWidth="1"/>
    <col min="4864" max="4864" width="19.44140625" style="1051" customWidth="1"/>
    <col min="4865" max="4865" width="17.44140625" style="1051" customWidth="1"/>
    <col min="4866" max="5114" width="9.21875" style="1051"/>
    <col min="5115" max="5115" width="5.5546875" style="1051" customWidth="1"/>
    <col min="5116" max="5116" width="43.5546875" style="1051" customWidth="1"/>
    <col min="5117" max="5117" width="18.77734375" style="1051" customWidth="1"/>
    <col min="5118" max="5119" width="9.44140625" style="1051" customWidth="1"/>
    <col min="5120" max="5120" width="19.44140625" style="1051" customWidth="1"/>
    <col min="5121" max="5121" width="17.44140625" style="1051" customWidth="1"/>
    <col min="5122" max="5370" width="9.21875" style="1051"/>
    <col min="5371" max="5371" width="5.5546875" style="1051" customWidth="1"/>
    <col min="5372" max="5372" width="43.5546875" style="1051" customWidth="1"/>
    <col min="5373" max="5373" width="18.77734375" style="1051" customWidth="1"/>
    <col min="5374" max="5375" width="9.44140625" style="1051" customWidth="1"/>
    <col min="5376" max="5376" width="19.44140625" style="1051" customWidth="1"/>
    <col min="5377" max="5377" width="17.44140625" style="1051" customWidth="1"/>
    <col min="5378" max="5626" width="9.21875" style="1051"/>
    <col min="5627" max="5627" width="5.5546875" style="1051" customWidth="1"/>
    <col min="5628" max="5628" width="43.5546875" style="1051" customWidth="1"/>
    <col min="5629" max="5629" width="18.77734375" style="1051" customWidth="1"/>
    <col min="5630" max="5631" width="9.44140625" style="1051" customWidth="1"/>
    <col min="5632" max="5632" width="19.44140625" style="1051" customWidth="1"/>
    <col min="5633" max="5633" width="17.44140625" style="1051" customWidth="1"/>
    <col min="5634" max="5882" width="9.21875" style="1051"/>
    <col min="5883" max="5883" width="5.5546875" style="1051" customWidth="1"/>
    <col min="5884" max="5884" width="43.5546875" style="1051" customWidth="1"/>
    <col min="5885" max="5885" width="18.77734375" style="1051" customWidth="1"/>
    <col min="5886" max="5887" width="9.44140625" style="1051" customWidth="1"/>
    <col min="5888" max="5888" width="19.44140625" style="1051" customWidth="1"/>
    <col min="5889" max="5889" width="17.44140625" style="1051" customWidth="1"/>
    <col min="5890" max="6138" width="9.21875" style="1051"/>
    <col min="6139" max="6139" width="5.5546875" style="1051" customWidth="1"/>
    <col min="6140" max="6140" width="43.5546875" style="1051" customWidth="1"/>
    <col min="6141" max="6141" width="18.77734375" style="1051" customWidth="1"/>
    <col min="6142" max="6143" width="9.44140625" style="1051" customWidth="1"/>
    <col min="6144" max="6144" width="19.44140625" style="1051" customWidth="1"/>
    <col min="6145" max="6145" width="17.44140625" style="1051" customWidth="1"/>
    <col min="6146" max="6394" width="9.21875" style="1051"/>
    <col min="6395" max="6395" width="5.5546875" style="1051" customWidth="1"/>
    <col min="6396" max="6396" width="43.5546875" style="1051" customWidth="1"/>
    <col min="6397" max="6397" width="18.77734375" style="1051" customWidth="1"/>
    <col min="6398" max="6399" width="9.44140625" style="1051" customWidth="1"/>
    <col min="6400" max="6400" width="19.44140625" style="1051" customWidth="1"/>
    <col min="6401" max="6401" width="17.44140625" style="1051" customWidth="1"/>
    <col min="6402" max="6650" width="9.21875" style="1051"/>
    <col min="6651" max="6651" width="5.5546875" style="1051" customWidth="1"/>
    <col min="6652" max="6652" width="43.5546875" style="1051" customWidth="1"/>
    <col min="6653" max="6653" width="18.77734375" style="1051" customWidth="1"/>
    <col min="6654" max="6655" width="9.44140625" style="1051" customWidth="1"/>
    <col min="6656" max="6656" width="19.44140625" style="1051" customWidth="1"/>
    <col min="6657" max="6657" width="17.44140625" style="1051" customWidth="1"/>
    <col min="6658" max="6906" width="9.21875" style="1051"/>
    <col min="6907" max="6907" width="5.5546875" style="1051" customWidth="1"/>
    <col min="6908" max="6908" width="43.5546875" style="1051" customWidth="1"/>
    <col min="6909" max="6909" width="18.77734375" style="1051" customWidth="1"/>
    <col min="6910" max="6911" width="9.44140625" style="1051" customWidth="1"/>
    <col min="6912" max="6912" width="19.44140625" style="1051" customWidth="1"/>
    <col min="6913" max="6913" width="17.44140625" style="1051" customWidth="1"/>
    <col min="6914" max="7162" width="9.21875" style="1051"/>
    <col min="7163" max="7163" width="5.5546875" style="1051" customWidth="1"/>
    <col min="7164" max="7164" width="43.5546875" style="1051" customWidth="1"/>
    <col min="7165" max="7165" width="18.77734375" style="1051" customWidth="1"/>
    <col min="7166" max="7167" width="9.44140625" style="1051" customWidth="1"/>
    <col min="7168" max="7168" width="19.44140625" style="1051" customWidth="1"/>
    <col min="7169" max="7169" width="17.44140625" style="1051" customWidth="1"/>
    <col min="7170" max="7418" width="9.21875" style="1051"/>
    <col min="7419" max="7419" width="5.5546875" style="1051" customWidth="1"/>
    <col min="7420" max="7420" width="43.5546875" style="1051" customWidth="1"/>
    <col min="7421" max="7421" width="18.77734375" style="1051" customWidth="1"/>
    <col min="7422" max="7423" width="9.44140625" style="1051" customWidth="1"/>
    <col min="7424" max="7424" width="19.44140625" style="1051" customWidth="1"/>
    <col min="7425" max="7425" width="17.44140625" style="1051" customWidth="1"/>
    <col min="7426" max="7674" width="9.21875" style="1051"/>
    <col min="7675" max="7675" width="5.5546875" style="1051" customWidth="1"/>
    <col min="7676" max="7676" width="43.5546875" style="1051" customWidth="1"/>
    <col min="7677" max="7677" width="18.77734375" style="1051" customWidth="1"/>
    <col min="7678" max="7679" width="9.44140625" style="1051" customWidth="1"/>
    <col min="7680" max="7680" width="19.44140625" style="1051" customWidth="1"/>
    <col min="7681" max="7681" width="17.44140625" style="1051" customWidth="1"/>
    <col min="7682" max="7930" width="9.21875" style="1051"/>
    <col min="7931" max="7931" width="5.5546875" style="1051" customWidth="1"/>
    <col min="7932" max="7932" width="43.5546875" style="1051" customWidth="1"/>
    <col min="7933" max="7933" width="18.77734375" style="1051" customWidth="1"/>
    <col min="7934" max="7935" width="9.44140625" style="1051" customWidth="1"/>
    <col min="7936" max="7936" width="19.44140625" style="1051" customWidth="1"/>
    <col min="7937" max="7937" width="17.44140625" style="1051" customWidth="1"/>
    <col min="7938" max="8186" width="9.21875" style="1051"/>
    <col min="8187" max="8187" width="5.5546875" style="1051" customWidth="1"/>
    <col min="8188" max="8188" width="43.5546875" style="1051" customWidth="1"/>
    <col min="8189" max="8189" width="18.77734375" style="1051" customWidth="1"/>
    <col min="8190" max="8191" width="9.44140625" style="1051" customWidth="1"/>
    <col min="8192" max="8192" width="19.44140625" style="1051" customWidth="1"/>
    <col min="8193" max="8193" width="17.44140625" style="1051" customWidth="1"/>
    <col min="8194" max="8442" width="9.21875" style="1051"/>
    <col min="8443" max="8443" width="5.5546875" style="1051" customWidth="1"/>
    <col min="8444" max="8444" width="43.5546875" style="1051" customWidth="1"/>
    <col min="8445" max="8445" width="18.77734375" style="1051" customWidth="1"/>
    <col min="8446" max="8447" width="9.44140625" style="1051" customWidth="1"/>
    <col min="8448" max="8448" width="19.44140625" style="1051" customWidth="1"/>
    <col min="8449" max="8449" width="17.44140625" style="1051" customWidth="1"/>
    <col min="8450" max="8698" width="9.21875" style="1051"/>
    <col min="8699" max="8699" width="5.5546875" style="1051" customWidth="1"/>
    <col min="8700" max="8700" width="43.5546875" style="1051" customWidth="1"/>
    <col min="8701" max="8701" width="18.77734375" style="1051" customWidth="1"/>
    <col min="8702" max="8703" width="9.44140625" style="1051" customWidth="1"/>
    <col min="8704" max="8704" width="19.44140625" style="1051" customWidth="1"/>
    <col min="8705" max="8705" width="17.44140625" style="1051" customWidth="1"/>
    <col min="8706" max="8954" width="9.21875" style="1051"/>
    <col min="8955" max="8955" width="5.5546875" style="1051" customWidth="1"/>
    <col min="8956" max="8956" width="43.5546875" style="1051" customWidth="1"/>
    <col min="8957" max="8957" width="18.77734375" style="1051" customWidth="1"/>
    <col min="8958" max="8959" width="9.44140625" style="1051" customWidth="1"/>
    <col min="8960" max="8960" width="19.44140625" style="1051" customWidth="1"/>
    <col min="8961" max="8961" width="17.44140625" style="1051" customWidth="1"/>
    <col min="8962" max="9210" width="9.21875" style="1051"/>
    <col min="9211" max="9211" width="5.5546875" style="1051" customWidth="1"/>
    <col min="9212" max="9212" width="43.5546875" style="1051" customWidth="1"/>
    <col min="9213" max="9213" width="18.77734375" style="1051" customWidth="1"/>
    <col min="9214" max="9215" width="9.44140625" style="1051" customWidth="1"/>
    <col min="9216" max="9216" width="19.44140625" style="1051" customWidth="1"/>
    <col min="9217" max="9217" width="17.44140625" style="1051" customWidth="1"/>
    <col min="9218" max="9466" width="9.21875" style="1051"/>
    <col min="9467" max="9467" width="5.5546875" style="1051" customWidth="1"/>
    <col min="9468" max="9468" width="43.5546875" style="1051" customWidth="1"/>
    <col min="9469" max="9469" width="18.77734375" style="1051" customWidth="1"/>
    <col min="9470" max="9471" width="9.44140625" style="1051" customWidth="1"/>
    <col min="9472" max="9472" width="19.44140625" style="1051" customWidth="1"/>
    <col min="9473" max="9473" width="17.44140625" style="1051" customWidth="1"/>
    <col min="9474" max="9722" width="9.21875" style="1051"/>
    <col min="9723" max="9723" width="5.5546875" style="1051" customWidth="1"/>
    <col min="9724" max="9724" width="43.5546875" style="1051" customWidth="1"/>
    <col min="9725" max="9725" width="18.77734375" style="1051" customWidth="1"/>
    <col min="9726" max="9727" width="9.44140625" style="1051" customWidth="1"/>
    <col min="9728" max="9728" width="19.44140625" style="1051" customWidth="1"/>
    <col min="9729" max="9729" width="17.44140625" style="1051" customWidth="1"/>
    <col min="9730" max="9978" width="9.21875" style="1051"/>
    <col min="9979" max="9979" width="5.5546875" style="1051" customWidth="1"/>
    <col min="9980" max="9980" width="43.5546875" style="1051" customWidth="1"/>
    <col min="9981" max="9981" width="18.77734375" style="1051" customWidth="1"/>
    <col min="9982" max="9983" width="9.44140625" style="1051" customWidth="1"/>
    <col min="9984" max="9984" width="19.44140625" style="1051" customWidth="1"/>
    <col min="9985" max="9985" width="17.44140625" style="1051" customWidth="1"/>
    <col min="9986" max="10234" width="9.21875" style="1051"/>
    <col min="10235" max="10235" width="5.5546875" style="1051" customWidth="1"/>
    <col min="10236" max="10236" width="43.5546875" style="1051" customWidth="1"/>
    <col min="10237" max="10237" width="18.77734375" style="1051" customWidth="1"/>
    <col min="10238" max="10239" width="9.44140625" style="1051" customWidth="1"/>
    <col min="10240" max="10240" width="19.44140625" style="1051" customWidth="1"/>
    <col min="10241" max="10241" width="17.44140625" style="1051" customWidth="1"/>
    <col min="10242" max="10490" width="9.21875" style="1051"/>
    <col min="10491" max="10491" width="5.5546875" style="1051" customWidth="1"/>
    <col min="10492" max="10492" width="43.5546875" style="1051" customWidth="1"/>
    <col min="10493" max="10493" width="18.77734375" style="1051" customWidth="1"/>
    <col min="10494" max="10495" width="9.44140625" style="1051" customWidth="1"/>
    <col min="10496" max="10496" width="19.44140625" style="1051" customWidth="1"/>
    <col min="10497" max="10497" width="17.44140625" style="1051" customWidth="1"/>
    <col min="10498" max="10746" width="9.21875" style="1051"/>
    <col min="10747" max="10747" width="5.5546875" style="1051" customWidth="1"/>
    <col min="10748" max="10748" width="43.5546875" style="1051" customWidth="1"/>
    <col min="10749" max="10749" width="18.77734375" style="1051" customWidth="1"/>
    <col min="10750" max="10751" width="9.44140625" style="1051" customWidth="1"/>
    <col min="10752" max="10752" width="19.44140625" style="1051" customWidth="1"/>
    <col min="10753" max="10753" width="17.44140625" style="1051" customWidth="1"/>
    <col min="10754" max="11002" width="9.21875" style="1051"/>
    <col min="11003" max="11003" width="5.5546875" style="1051" customWidth="1"/>
    <col min="11004" max="11004" width="43.5546875" style="1051" customWidth="1"/>
    <col min="11005" max="11005" width="18.77734375" style="1051" customWidth="1"/>
    <col min="11006" max="11007" width="9.44140625" style="1051" customWidth="1"/>
    <col min="11008" max="11008" width="19.44140625" style="1051" customWidth="1"/>
    <col min="11009" max="11009" width="17.44140625" style="1051" customWidth="1"/>
    <col min="11010" max="11258" width="9.21875" style="1051"/>
    <col min="11259" max="11259" width="5.5546875" style="1051" customWidth="1"/>
    <col min="11260" max="11260" width="43.5546875" style="1051" customWidth="1"/>
    <col min="11261" max="11261" width="18.77734375" style="1051" customWidth="1"/>
    <col min="11262" max="11263" width="9.44140625" style="1051" customWidth="1"/>
    <col min="11264" max="11264" width="19.44140625" style="1051" customWidth="1"/>
    <col min="11265" max="11265" width="17.44140625" style="1051" customWidth="1"/>
    <col min="11266" max="11514" width="9.21875" style="1051"/>
    <col min="11515" max="11515" width="5.5546875" style="1051" customWidth="1"/>
    <col min="11516" max="11516" width="43.5546875" style="1051" customWidth="1"/>
    <col min="11517" max="11517" width="18.77734375" style="1051" customWidth="1"/>
    <col min="11518" max="11519" width="9.44140625" style="1051" customWidth="1"/>
    <col min="11520" max="11520" width="19.44140625" style="1051" customWidth="1"/>
    <col min="11521" max="11521" width="17.44140625" style="1051" customWidth="1"/>
    <col min="11522" max="11770" width="9.21875" style="1051"/>
    <col min="11771" max="11771" width="5.5546875" style="1051" customWidth="1"/>
    <col min="11772" max="11772" width="43.5546875" style="1051" customWidth="1"/>
    <col min="11773" max="11773" width="18.77734375" style="1051" customWidth="1"/>
    <col min="11774" max="11775" width="9.44140625" style="1051" customWidth="1"/>
    <col min="11776" max="11776" width="19.44140625" style="1051" customWidth="1"/>
    <col min="11777" max="11777" width="17.44140625" style="1051" customWidth="1"/>
    <col min="11778" max="12026" width="9.21875" style="1051"/>
    <col min="12027" max="12027" width="5.5546875" style="1051" customWidth="1"/>
    <col min="12028" max="12028" width="43.5546875" style="1051" customWidth="1"/>
    <col min="12029" max="12029" width="18.77734375" style="1051" customWidth="1"/>
    <col min="12030" max="12031" width="9.44140625" style="1051" customWidth="1"/>
    <col min="12032" max="12032" width="19.44140625" style="1051" customWidth="1"/>
    <col min="12033" max="12033" width="17.44140625" style="1051" customWidth="1"/>
    <col min="12034" max="12282" width="9.21875" style="1051"/>
    <col min="12283" max="12283" width="5.5546875" style="1051" customWidth="1"/>
    <col min="12284" max="12284" width="43.5546875" style="1051" customWidth="1"/>
    <col min="12285" max="12285" width="18.77734375" style="1051" customWidth="1"/>
    <col min="12286" max="12287" width="9.44140625" style="1051" customWidth="1"/>
    <col min="12288" max="12288" width="19.44140625" style="1051" customWidth="1"/>
    <col min="12289" max="12289" width="17.44140625" style="1051" customWidth="1"/>
    <col min="12290" max="12538" width="9.21875" style="1051"/>
    <col min="12539" max="12539" width="5.5546875" style="1051" customWidth="1"/>
    <col min="12540" max="12540" width="43.5546875" style="1051" customWidth="1"/>
    <col min="12541" max="12541" width="18.77734375" style="1051" customWidth="1"/>
    <col min="12542" max="12543" width="9.44140625" style="1051" customWidth="1"/>
    <col min="12544" max="12544" width="19.44140625" style="1051" customWidth="1"/>
    <col min="12545" max="12545" width="17.44140625" style="1051" customWidth="1"/>
    <col min="12546" max="12794" width="9.21875" style="1051"/>
    <col min="12795" max="12795" width="5.5546875" style="1051" customWidth="1"/>
    <col min="12796" max="12796" width="43.5546875" style="1051" customWidth="1"/>
    <col min="12797" max="12797" width="18.77734375" style="1051" customWidth="1"/>
    <col min="12798" max="12799" width="9.44140625" style="1051" customWidth="1"/>
    <col min="12800" max="12800" width="19.44140625" style="1051" customWidth="1"/>
    <col min="12801" max="12801" width="17.44140625" style="1051" customWidth="1"/>
    <col min="12802" max="13050" width="9.21875" style="1051"/>
    <col min="13051" max="13051" width="5.5546875" style="1051" customWidth="1"/>
    <col min="13052" max="13052" width="43.5546875" style="1051" customWidth="1"/>
    <col min="13053" max="13053" width="18.77734375" style="1051" customWidth="1"/>
    <col min="13054" max="13055" width="9.44140625" style="1051" customWidth="1"/>
    <col min="13056" max="13056" width="19.44140625" style="1051" customWidth="1"/>
    <col min="13057" max="13057" width="17.44140625" style="1051" customWidth="1"/>
    <col min="13058" max="13306" width="9.21875" style="1051"/>
    <col min="13307" max="13307" width="5.5546875" style="1051" customWidth="1"/>
    <col min="13308" max="13308" width="43.5546875" style="1051" customWidth="1"/>
    <col min="13309" max="13309" width="18.77734375" style="1051" customWidth="1"/>
    <col min="13310" max="13311" width="9.44140625" style="1051" customWidth="1"/>
    <col min="13312" max="13312" width="19.44140625" style="1051" customWidth="1"/>
    <col min="13313" max="13313" width="17.44140625" style="1051" customWidth="1"/>
    <col min="13314" max="13562" width="9.21875" style="1051"/>
    <col min="13563" max="13563" width="5.5546875" style="1051" customWidth="1"/>
    <col min="13564" max="13564" width="43.5546875" style="1051" customWidth="1"/>
    <col min="13565" max="13565" width="18.77734375" style="1051" customWidth="1"/>
    <col min="13566" max="13567" width="9.44140625" style="1051" customWidth="1"/>
    <col min="13568" max="13568" width="19.44140625" style="1051" customWidth="1"/>
    <col min="13569" max="13569" width="17.44140625" style="1051" customWidth="1"/>
    <col min="13570" max="13818" width="9.21875" style="1051"/>
    <col min="13819" max="13819" width="5.5546875" style="1051" customWidth="1"/>
    <col min="13820" max="13820" width="43.5546875" style="1051" customWidth="1"/>
    <col min="13821" max="13821" width="18.77734375" style="1051" customWidth="1"/>
    <col min="13822" max="13823" width="9.44140625" style="1051" customWidth="1"/>
    <col min="13824" max="13824" width="19.44140625" style="1051" customWidth="1"/>
    <col min="13825" max="13825" width="17.44140625" style="1051" customWidth="1"/>
    <col min="13826" max="14074" width="9.21875" style="1051"/>
    <col min="14075" max="14075" width="5.5546875" style="1051" customWidth="1"/>
    <col min="14076" max="14076" width="43.5546875" style="1051" customWidth="1"/>
    <col min="14077" max="14077" width="18.77734375" style="1051" customWidth="1"/>
    <col min="14078" max="14079" width="9.44140625" style="1051" customWidth="1"/>
    <col min="14080" max="14080" width="19.44140625" style="1051" customWidth="1"/>
    <col min="14081" max="14081" width="17.44140625" style="1051" customWidth="1"/>
    <col min="14082" max="14330" width="9.21875" style="1051"/>
    <col min="14331" max="14331" width="5.5546875" style="1051" customWidth="1"/>
    <col min="14332" max="14332" width="43.5546875" style="1051" customWidth="1"/>
    <col min="14333" max="14333" width="18.77734375" style="1051" customWidth="1"/>
    <col min="14334" max="14335" width="9.44140625" style="1051" customWidth="1"/>
    <col min="14336" max="14336" width="19.44140625" style="1051" customWidth="1"/>
    <col min="14337" max="14337" width="17.44140625" style="1051" customWidth="1"/>
    <col min="14338" max="14586" width="9.21875" style="1051"/>
    <col min="14587" max="14587" width="5.5546875" style="1051" customWidth="1"/>
    <col min="14588" max="14588" width="43.5546875" style="1051" customWidth="1"/>
    <col min="14589" max="14589" width="18.77734375" style="1051" customWidth="1"/>
    <col min="14590" max="14591" width="9.44140625" style="1051" customWidth="1"/>
    <col min="14592" max="14592" width="19.44140625" style="1051" customWidth="1"/>
    <col min="14593" max="14593" width="17.44140625" style="1051" customWidth="1"/>
    <col min="14594" max="14842" width="9.21875" style="1051"/>
    <col min="14843" max="14843" width="5.5546875" style="1051" customWidth="1"/>
    <col min="14844" max="14844" width="43.5546875" style="1051" customWidth="1"/>
    <col min="14845" max="14845" width="18.77734375" style="1051" customWidth="1"/>
    <col min="14846" max="14847" width="9.44140625" style="1051" customWidth="1"/>
    <col min="14848" max="14848" width="19.44140625" style="1051" customWidth="1"/>
    <col min="14849" max="14849" width="17.44140625" style="1051" customWidth="1"/>
    <col min="14850" max="15098" width="9.21875" style="1051"/>
    <col min="15099" max="15099" width="5.5546875" style="1051" customWidth="1"/>
    <col min="15100" max="15100" width="43.5546875" style="1051" customWidth="1"/>
    <col min="15101" max="15101" width="18.77734375" style="1051" customWidth="1"/>
    <col min="15102" max="15103" width="9.44140625" style="1051" customWidth="1"/>
    <col min="15104" max="15104" width="19.44140625" style="1051" customWidth="1"/>
    <col min="15105" max="15105" width="17.44140625" style="1051" customWidth="1"/>
    <col min="15106" max="15354" width="9.21875" style="1051"/>
    <col min="15355" max="15355" width="5.5546875" style="1051" customWidth="1"/>
    <col min="15356" max="15356" width="43.5546875" style="1051" customWidth="1"/>
    <col min="15357" max="15357" width="18.77734375" style="1051" customWidth="1"/>
    <col min="15358" max="15359" width="9.44140625" style="1051" customWidth="1"/>
    <col min="15360" max="15360" width="19.44140625" style="1051" customWidth="1"/>
    <col min="15361" max="15361" width="17.44140625" style="1051" customWidth="1"/>
    <col min="15362" max="15610" width="9.21875" style="1051"/>
    <col min="15611" max="15611" width="5.5546875" style="1051" customWidth="1"/>
    <col min="15612" max="15612" width="43.5546875" style="1051" customWidth="1"/>
    <col min="15613" max="15613" width="18.77734375" style="1051" customWidth="1"/>
    <col min="15614" max="15615" width="9.44140625" style="1051" customWidth="1"/>
    <col min="15616" max="15616" width="19.44140625" style="1051" customWidth="1"/>
    <col min="15617" max="15617" width="17.44140625" style="1051" customWidth="1"/>
    <col min="15618" max="15866" width="9.21875" style="1051"/>
    <col min="15867" max="15867" width="5.5546875" style="1051" customWidth="1"/>
    <col min="15868" max="15868" width="43.5546875" style="1051" customWidth="1"/>
    <col min="15869" max="15869" width="18.77734375" style="1051" customWidth="1"/>
    <col min="15870" max="15871" width="9.44140625" style="1051" customWidth="1"/>
    <col min="15872" max="15872" width="19.44140625" style="1051" customWidth="1"/>
    <col min="15873" max="15873" width="17.44140625" style="1051" customWidth="1"/>
    <col min="15874" max="16122" width="9.21875" style="1051"/>
    <col min="16123" max="16123" width="5.5546875" style="1051" customWidth="1"/>
    <col min="16124" max="16124" width="43.5546875" style="1051" customWidth="1"/>
    <col min="16125" max="16125" width="18.77734375" style="1051" customWidth="1"/>
    <col min="16126" max="16127" width="9.44140625" style="1051" customWidth="1"/>
    <col min="16128" max="16128" width="19.44140625" style="1051" customWidth="1"/>
    <col min="16129" max="16129" width="17.44140625" style="1051" customWidth="1"/>
    <col min="16130" max="16384" width="9.21875" style="1051"/>
  </cols>
  <sheetData>
    <row r="3" spans="2:7" ht="15.75" customHeight="1">
      <c r="B3" s="1271" t="s">
        <v>313</v>
      </c>
      <c r="C3" s="1271"/>
      <c r="D3" s="1271"/>
      <c r="E3" s="1271"/>
      <c r="F3" s="1271"/>
    </row>
    <row r="4" spans="2:7" ht="20.25" customHeight="1" thickBot="1">
      <c r="B4" s="1271"/>
      <c r="C4" s="1271"/>
      <c r="D4" s="1271"/>
      <c r="E4" s="1271"/>
      <c r="F4" s="1271"/>
    </row>
    <row r="5" spans="2:7" s="1148" customFormat="1" ht="24.75" customHeight="1" thickBot="1">
      <c r="B5" s="1142" t="s">
        <v>75</v>
      </c>
      <c r="C5" s="1143"/>
      <c r="D5" s="1144" t="s">
        <v>314</v>
      </c>
      <c r="E5" s="1145" t="s">
        <v>134</v>
      </c>
      <c r="F5" s="1146" t="s">
        <v>135</v>
      </c>
      <c r="G5" s="1147"/>
    </row>
    <row r="6" spans="2:7" s="1148" customFormat="1" ht="13.2">
      <c r="B6" s="1149"/>
      <c r="C6" s="1150"/>
      <c r="D6" s="1151"/>
      <c r="E6" s="1152"/>
      <c r="F6" s="1153"/>
      <c r="G6" s="1147"/>
    </row>
    <row r="7" spans="2:7" s="1148" customFormat="1" ht="13.2">
      <c r="B7" s="1154"/>
      <c r="C7" s="1155" t="s">
        <v>315</v>
      </c>
      <c r="D7" s="1156"/>
      <c r="E7" s="1157"/>
      <c r="F7" s="1158"/>
      <c r="G7" s="1147"/>
    </row>
    <row r="8" spans="2:7" s="1148" customFormat="1" ht="13.2">
      <c r="B8" s="1159"/>
      <c r="C8" s="1160">
        <v>1</v>
      </c>
      <c r="D8" s="1161" t="s">
        <v>77</v>
      </c>
      <c r="E8" s="1162">
        <v>120000</v>
      </c>
      <c r="F8" s="1163" t="s">
        <v>76</v>
      </c>
      <c r="G8" s="1164"/>
    </row>
    <row r="9" spans="2:7" s="1148" customFormat="1" ht="13.2">
      <c r="B9" s="1159"/>
      <c r="C9" s="1160">
        <v>2</v>
      </c>
      <c r="D9" s="1161" t="s">
        <v>80</v>
      </c>
      <c r="E9" s="1162">
        <v>225000</v>
      </c>
      <c r="F9" s="1163" t="s">
        <v>76</v>
      </c>
      <c r="G9" s="1164"/>
    </row>
    <row r="10" spans="2:7" s="1148" customFormat="1" ht="13.2">
      <c r="B10" s="1159"/>
      <c r="C10" s="1160">
        <v>3</v>
      </c>
      <c r="D10" s="1161" t="s">
        <v>99</v>
      </c>
      <c r="E10" s="1162">
        <v>170000</v>
      </c>
      <c r="F10" s="1163" t="s">
        <v>76</v>
      </c>
      <c r="G10" s="1164"/>
    </row>
    <row r="11" spans="2:7" s="1148" customFormat="1" ht="13.2">
      <c r="B11" s="1159"/>
      <c r="C11" s="1160">
        <v>4</v>
      </c>
      <c r="D11" s="1161" t="s">
        <v>97</v>
      </c>
      <c r="E11" s="1162">
        <v>160000</v>
      </c>
      <c r="F11" s="1163" t="s">
        <v>76</v>
      </c>
      <c r="G11" s="1164"/>
    </row>
    <row r="12" spans="2:7" s="1148" customFormat="1" ht="13.2">
      <c r="B12" s="1159"/>
      <c r="C12" s="1160">
        <v>5</v>
      </c>
      <c r="D12" s="1161" t="s">
        <v>859</v>
      </c>
      <c r="E12" s="1162">
        <f>E11</f>
        <v>160000</v>
      </c>
      <c r="F12" s="1163" t="s">
        <v>76</v>
      </c>
      <c r="G12" s="1164"/>
    </row>
    <row r="13" spans="2:7" s="1148" customFormat="1" ht="13.2">
      <c r="B13" s="1159"/>
      <c r="C13" s="1160">
        <v>6</v>
      </c>
      <c r="D13" s="1161" t="s">
        <v>96</v>
      </c>
      <c r="E13" s="1162">
        <f t="shared" ref="E13:E15" si="0">E12</f>
        <v>160000</v>
      </c>
      <c r="F13" s="1163" t="s">
        <v>76</v>
      </c>
      <c r="G13" s="1164"/>
    </row>
    <row r="14" spans="2:7" s="1148" customFormat="1" ht="13.2">
      <c r="B14" s="1159"/>
      <c r="C14" s="1160">
        <v>7</v>
      </c>
      <c r="D14" s="1161" t="s">
        <v>98</v>
      </c>
      <c r="E14" s="1162">
        <f t="shared" si="0"/>
        <v>160000</v>
      </c>
      <c r="F14" s="1163" t="s">
        <v>76</v>
      </c>
      <c r="G14" s="1164"/>
    </row>
    <row r="15" spans="2:7" s="1148" customFormat="1" ht="13.2">
      <c r="B15" s="1159"/>
      <c r="C15" s="1160">
        <v>8</v>
      </c>
      <c r="D15" s="1161" t="s">
        <v>126</v>
      </c>
      <c r="E15" s="1162">
        <f t="shared" si="0"/>
        <v>160000</v>
      </c>
      <c r="F15" s="1163" t="s">
        <v>76</v>
      </c>
      <c r="G15" s="1164"/>
    </row>
    <row r="16" spans="2:7" s="1148" customFormat="1" ht="13.2">
      <c r="B16" s="1159"/>
      <c r="C16" s="1160"/>
      <c r="D16" s="1161"/>
      <c r="E16" s="1162"/>
      <c r="F16" s="1163"/>
      <c r="G16" s="1164"/>
    </row>
    <row r="17" spans="2:9" s="1148" customFormat="1" ht="13.2">
      <c r="B17" s="1159"/>
      <c r="C17" s="1160"/>
      <c r="D17" s="1161"/>
      <c r="E17" s="1162"/>
      <c r="F17" s="1163"/>
      <c r="G17" s="1164"/>
    </row>
    <row r="18" spans="2:9" s="1148" customFormat="1" ht="13.2">
      <c r="B18" s="1165"/>
      <c r="C18" s="1155" t="s">
        <v>316</v>
      </c>
      <c r="D18" s="1156"/>
      <c r="E18" s="1157"/>
      <c r="F18" s="1158"/>
      <c r="G18" s="1147"/>
    </row>
    <row r="19" spans="2:9" s="1148" customFormat="1" ht="13.2">
      <c r="B19" s="1154" t="s">
        <v>146</v>
      </c>
      <c r="C19" s="1166"/>
      <c r="D19" s="1156" t="s">
        <v>317</v>
      </c>
      <c r="E19" s="1157"/>
      <c r="F19" s="1158"/>
      <c r="G19" s="1147"/>
    </row>
    <row r="20" spans="2:9" s="1148" customFormat="1" ht="13.2">
      <c r="B20" s="1159"/>
      <c r="C20" s="1160">
        <v>1</v>
      </c>
      <c r="D20" s="1161" t="s">
        <v>88</v>
      </c>
      <c r="E20" s="1167">
        <v>150000</v>
      </c>
      <c r="F20" s="1163" t="s">
        <v>81</v>
      </c>
      <c r="G20" s="1147"/>
    </row>
    <row r="21" spans="2:9" s="1148" customFormat="1" ht="13.2">
      <c r="B21" s="1159"/>
      <c r="C21" s="1160">
        <v>2</v>
      </c>
      <c r="D21" s="1161" t="s">
        <v>168</v>
      </c>
      <c r="E21" s="1167">
        <v>120000</v>
      </c>
      <c r="F21" s="1163" t="s">
        <v>81</v>
      </c>
      <c r="G21" s="1147"/>
    </row>
    <row r="22" spans="2:9" s="1148" customFormat="1" ht="13.2">
      <c r="B22" s="1159"/>
      <c r="C22" s="1160">
        <v>3</v>
      </c>
      <c r="D22" s="1161" t="s">
        <v>90</v>
      </c>
      <c r="E22" s="1167">
        <v>150000</v>
      </c>
      <c r="F22" s="1163" t="s">
        <v>81</v>
      </c>
      <c r="G22" s="1147"/>
    </row>
    <row r="23" spans="2:9" s="1148" customFormat="1" ht="13.2">
      <c r="B23" s="1159"/>
      <c r="C23" s="1160">
        <v>4</v>
      </c>
      <c r="D23" s="1161" t="s">
        <v>169</v>
      </c>
      <c r="E23" s="1167">
        <f>E22/1400</f>
        <v>107.14285714285714</v>
      </c>
      <c r="F23" s="1163" t="s">
        <v>69</v>
      </c>
      <c r="G23" s="1147"/>
    </row>
    <row r="24" spans="2:9" s="1148" customFormat="1" ht="13.2">
      <c r="B24" s="1159"/>
      <c r="C24" s="1160">
        <v>5</v>
      </c>
      <c r="D24" s="1161" t="s">
        <v>213</v>
      </c>
      <c r="E24" s="1167">
        <v>120000</v>
      </c>
      <c r="F24" s="1163" t="s">
        <v>81</v>
      </c>
      <c r="G24" s="1147"/>
      <c r="I24" s="1148" t="s">
        <v>597</v>
      </c>
    </row>
    <row r="25" spans="2:9" s="1148" customFormat="1" ht="13.2">
      <c r="B25" s="1154"/>
      <c r="C25" s="1166"/>
      <c r="D25" s="1156"/>
      <c r="E25" s="1157"/>
      <c r="F25" s="1158"/>
      <c r="G25" s="1147"/>
    </row>
    <row r="26" spans="2:9" s="1148" customFormat="1" ht="13.2">
      <c r="B26" s="1154" t="s">
        <v>153</v>
      </c>
      <c r="C26" s="1166"/>
      <c r="D26" s="1156" t="s">
        <v>318</v>
      </c>
      <c r="E26" s="1157"/>
      <c r="F26" s="1158"/>
      <c r="G26" s="1147"/>
    </row>
    <row r="27" spans="2:9" s="1148" customFormat="1" ht="13.2">
      <c r="B27" s="1159"/>
      <c r="C27" s="1160">
        <v>1</v>
      </c>
      <c r="D27" s="1161" t="s">
        <v>93</v>
      </c>
      <c r="E27" s="1167">
        <v>0</v>
      </c>
      <c r="F27" s="1163" t="s">
        <v>92</v>
      </c>
      <c r="G27" s="1147"/>
    </row>
    <row r="28" spans="2:9" s="1148" customFormat="1" ht="13.2">
      <c r="B28" s="1159"/>
      <c r="C28" s="1160">
        <v>2</v>
      </c>
      <c r="D28" s="1161" t="s">
        <v>181</v>
      </c>
      <c r="E28" s="1167">
        <v>600</v>
      </c>
      <c r="F28" s="1163" t="s">
        <v>23</v>
      </c>
      <c r="G28" s="1147"/>
    </row>
    <row r="29" spans="2:9" s="1148" customFormat="1" ht="13.2">
      <c r="B29" s="1159"/>
      <c r="C29" s="1160">
        <v>3</v>
      </c>
      <c r="D29" s="1161" t="s">
        <v>430</v>
      </c>
      <c r="E29" s="1167">
        <f>75000*1.15</f>
        <v>86250</v>
      </c>
      <c r="F29" s="1163" t="s">
        <v>133</v>
      </c>
      <c r="G29" s="1147"/>
    </row>
    <row r="30" spans="2:9" s="1148" customFormat="1" ht="13.2">
      <c r="B30" s="1159"/>
      <c r="C30" s="1160">
        <v>4</v>
      </c>
      <c r="D30" s="1148" t="s">
        <v>840</v>
      </c>
      <c r="E30" s="1167">
        <f>171000*1.15</f>
        <v>196649.99999999997</v>
      </c>
      <c r="F30" s="1163" t="s">
        <v>23</v>
      </c>
      <c r="G30" s="1147"/>
    </row>
    <row r="31" spans="2:9" s="1148" customFormat="1" ht="13.2">
      <c r="B31" s="1159"/>
      <c r="C31" s="1160">
        <v>5</v>
      </c>
      <c r="D31" s="1148" t="s">
        <v>838</v>
      </c>
      <c r="E31" s="1167">
        <f>557000*1.1</f>
        <v>612700</v>
      </c>
      <c r="F31" s="1163" t="s">
        <v>23</v>
      </c>
      <c r="G31" s="1147"/>
      <c r="I31" s="1148" t="s">
        <v>841</v>
      </c>
    </row>
    <row r="32" spans="2:9" s="1148" customFormat="1" ht="13.2">
      <c r="B32" s="1159"/>
      <c r="C32" s="1160">
        <v>6</v>
      </c>
      <c r="D32" s="1148" t="s">
        <v>839</v>
      </c>
      <c r="E32" s="1167">
        <f>412500*1.15</f>
        <v>474374.99999999994</v>
      </c>
      <c r="F32" s="1163" t="s">
        <v>23</v>
      </c>
      <c r="G32" s="1147"/>
    </row>
    <row r="33" spans="2:9" s="1148" customFormat="1" ht="13.2">
      <c r="B33" s="1159"/>
      <c r="C33" s="1160">
        <v>7</v>
      </c>
      <c r="D33" s="1148" t="s">
        <v>841</v>
      </c>
      <c r="E33" s="1167">
        <f>135000*1.15</f>
        <v>155250</v>
      </c>
      <c r="F33" s="1163" t="s">
        <v>23</v>
      </c>
      <c r="G33" s="1147"/>
    </row>
    <row r="34" spans="2:9" s="1148" customFormat="1" ht="13.2">
      <c r="B34" s="1159"/>
      <c r="C34" s="1160">
        <v>8</v>
      </c>
      <c r="D34" s="1161" t="s">
        <v>231</v>
      </c>
      <c r="E34" s="1167">
        <v>450000</v>
      </c>
      <c r="F34" s="1163" t="s">
        <v>81</v>
      </c>
      <c r="G34" s="1147"/>
    </row>
    <row r="35" spans="2:9" s="1148" customFormat="1" ht="13.2">
      <c r="B35" s="1159"/>
      <c r="C35" s="1160">
        <v>9</v>
      </c>
      <c r="D35" s="1161" t="s">
        <v>102</v>
      </c>
      <c r="E35" s="1167">
        <v>14000</v>
      </c>
      <c r="F35" s="1163" t="s">
        <v>69</v>
      </c>
      <c r="G35" s="1147"/>
      <c r="H35" s="1148">
        <f>247750/11.34</f>
        <v>21847.442680776014</v>
      </c>
    </row>
    <row r="36" spans="2:9" s="1148" customFormat="1" ht="13.2">
      <c r="B36" s="1159"/>
      <c r="C36" s="1160">
        <v>10</v>
      </c>
      <c r="D36" s="1161" t="s">
        <v>873</v>
      </c>
      <c r="E36" s="1167">
        <v>247750</v>
      </c>
      <c r="F36" s="1163" t="s">
        <v>876</v>
      </c>
      <c r="G36" s="1147"/>
    </row>
    <row r="37" spans="2:9" s="1148" customFormat="1" ht="13.2">
      <c r="B37" s="1159"/>
      <c r="C37" s="1160">
        <v>11</v>
      </c>
      <c r="D37" s="1161" t="s">
        <v>877</v>
      </c>
      <c r="E37" s="1167">
        <f>E36/11.34</f>
        <v>21847.442680776014</v>
      </c>
      <c r="F37" s="1163" t="s">
        <v>133</v>
      </c>
      <c r="G37" s="1147"/>
    </row>
    <row r="38" spans="2:9" s="1148" customFormat="1" ht="13.2">
      <c r="B38" s="1159"/>
      <c r="C38" s="1160">
        <v>10</v>
      </c>
      <c r="D38" s="1161" t="s">
        <v>878</v>
      </c>
      <c r="E38" s="1167">
        <v>13000</v>
      </c>
      <c r="F38" s="1163" t="s">
        <v>69</v>
      </c>
      <c r="G38" s="1147"/>
    </row>
    <row r="39" spans="2:9" s="1148" customFormat="1" ht="13.2">
      <c r="B39" s="1159"/>
      <c r="C39" s="1160">
        <v>12</v>
      </c>
      <c r="D39" s="1161" t="s">
        <v>91</v>
      </c>
      <c r="E39" s="1167">
        <v>450000</v>
      </c>
      <c r="F39" s="1163" t="s">
        <v>81</v>
      </c>
      <c r="G39" s="1147"/>
      <c r="I39" s="1148" t="s">
        <v>443</v>
      </c>
    </row>
    <row r="40" spans="2:9" s="1148" customFormat="1" ht="13.2">
      <c r="B40" s="1159"/>
      <c r="C40" s="1160">
        <v>13</v>
      </c>
      <c r="D40" s="1161" t="s">
        <v>104</v>
      </c>
      <c r="E40" s="1167">
        <f>E39/1300</f>
        <v>346.15384615384613</v>
      </c>
      <c r="F40" s="1163" t="s">
        <v>69</v>
      </c>
      <c r="G40" s="1147"/>
    </row>
    <row r="41" spans="2:9" s="1148" customFormat="1" ht="13.2">
      <c r="B41" s="1159"/>
      <c r="C41" s="1160"/>
      <c r="D41" s="1161"/>
      <c r="E41" s="1167"/>
      <c r="F41" s="1163"/>
      <c r="G41" s="1147"/>
    </row>
    <row r="42" spans="2:9" s="1148" customFormat="1" ht="13.2">
      <c r="B42" s="1154" t="s">
        <v>157</v>
      </c>
      <c r="C42" s="1166"/>
      <c r="D42" s="1156" t="s">
        <v>319</v>
      </c>
      <c r="E42" s="1157"/>
      <c r="F42" s="1158"/>
      <c r="G42" s="1147"/>
    </row>
    <row r="43" spans="2:9" s="1148" customFormat="1" ht="13.2">
      <c r="B43" s="1159"/>
      <c r="C43" s="1160">
        <v>1</v>
      </c>
      <c r="D43" s="1168" t="s">
        <v>235</v>
      </c>
      <c r="E43" s="1169">
        <v>68000</v>
      </c>
      <c r="F43" s="1163" t="s">
        <v>233</v>
      </c>
      <c r="G43" s="1147"/>
    </row>
    <row r="44" spans="2:9" s="1148" customFormat="1" ht="13.2">
      <c r="B44" s="1159"/>
      <c r="C44" s="1160">
        <v>2</v>
      </c>
      <c r="D44" s="1161" t="s">
        <v>87</v>
      </c>
      <c r="E44" s="1167">
        <f>E43/40</f>
        <v>1700</v>
      </c>
      <c r="F44" s="1163" t="s">
        <v>69</v>
      </c>
      <c r="G44" s="1147"/>
    </row>
    <row r="45" spans="2:9" s="1148" customFormat="1" ht="13.2">
      <c r="B45" s="1159"/>
      <c r="C45" s="1160">
        <v>3</v>
      </c>
      <c r="D45" s="1161" t="s">
        <v>186</v>
      </c>
      <c r="E45" s="1167">
        <f>150000/40</f>
        <v>3750</v>
      </c>
      <c r="F45" s="1163" t="s">
        <v>69</v>
      </c>
      <c r="G45" s="1147"/>
    </row>
    <row r="46" spans="2:9" s="1148" customFormat="1" ht="13.2">
      <c r="B46" s="1159"/>
      <c r="C46" s="1160"/>
      <c r="D46" s="1161"/>
      <c r="E46" s="1167"/>
      <c r="F46" s="1163"/>
      <c r="G46" s="1147"/>
    </row>
    <row r="47" spans="2:9" s="1148" customFormat="1" ht="13.2">
      <c r="B47" s="1154" t="s">
        <v>160</v>
      </c>
      <c r="C47" s="1160"/>
      <c r="D47" s="1156" t="s">
        <v>320</v>
      </c>
      <c r="E47" s="1157"/>
      <c r="F47" s="1158"/>
      <c r="G47" s="1147"/>
    </row>
    <row r="48" spans="2:9" s="1148" customFormat="1" ht="13.2">
      <c r="B48" s="1159"/>
      <c r="C48" s="1160">
        <v>1</v>
      </c>
      <c r="D48" s="1161" t="s">
        <v>228</v>
      </c>
      <c r="E48" s="1167">
        <v>9000000</v>
      </c>
      <c r="F48" s="1163" t="s">
        <v>81</v>
      </c>
      <c r="G48" s="1147"/>
    </row>
    <row r="49" spans="2:11" s="1148" customFormat="1" ht="13.2">
      <c r="B49" s="1159"/>
      <c r="C49" s="1160">
        <v>2</v>
      </c>
      <c r="D49" s="1161" t="s">
        <v>176</v>
      </c>
      <c r="E49" s="1167">
        <v>6000000</v>
      </c>
      <c r="F49" s="1163" t="s">
        <v>81</v>
      </c>
      <c r="G49" s="1147"/>
    </row>
    <row r="50" spans="2:11" s="1148" customFormat="1" ht="13.2">
      <c r="B50" s="1159"/>
      <c r="C50" s="1160">
        <v>3</v>
      </c>
      <c r="D50" s="1161" t="s">
        <v>252</v>
      </c>
      <c r="E50" s="1167">
        <v>3400000</v>
      </c>
      <c r="F50" s="1163" t="s">
        <v>81</v>
      </c>
      <c r="G50" s="1147"/>
      <c r="I50" s="1170" t="s">
        <v>608</v>
      </c>
      <c r="J50" s="1171">
        <v>210000</v>
      </c>
      <c r="K50" s="1172" t="s">
        <v>62</v>
      </c>
    </row>
    <row r="51" spans="2:11" s="1148" customFormat="1" ht="13.2">
      <c r="B51" s="1159"/>
      <c r="C51" s="1160">
        <v>4</v>
      </c>
      <c r="D51" s="1161" t="s">
        <v>177</v>
      </c>
      <c r="E51" s="1167">
        <v>35000</v>
      </c>
      <c r="F51" s="1163" t="s">
        <v>137</v>
      </c>
      <c r="G51" s="1147"/>
      <c r="I51" s="1170" t="s">
        <v>609</v>
      </c>
      <c r="J51" s="1171">
        <v>65000</v>
      </c>
      <c r="K51" s="1172" t="s">
        <v>23</v>
      </c>
    </row>
    <row r="52" spans="2:11" s="1148" customFormat="1" ht="13.2">
      <c r="B52" s="1159"/>
      <c r="C52" s="1160">
        <v>5</v>
      </c>
      <c r="D52" s="1161" t="s">
        <v>136</v>
      </c>
      <c r="E52" s="1167">
        <f>E50</f>
        <v>3400000</v>
      </c>
      <c r="F52" s="1163" t="s">
        <v>81</v>
      </c>
      <c r="G52" s="1147"/>
    </row>
    <row r="53" spans="2:11" s="1148" customFormat="1" ht="13.2">
      <c r="B53" s="1159"/>
      <c r="C53" s="1160">
        <v>6</v>
      </c>
      <c r="D53" s="1161" t="s">
        <v>230</v>
      </c>
      <c r="E53" s="1167">
        <f>E49</f>
        <v>6000000</v>
      </c>
      <c r="F53" s="1163" t="s">
        <v>81</v>
      </c>
      <c r="G53" s="1147"/>
    </row>
    <row r="54" spans="2:11" s="1148" customFormat="1" ht="13.2">
      <c r="B54" s="1159"/>
      <c r="C54" s="1160">
        <v>7</v>
      </c>
      <c r="D54" s="1161" t="s">
        <v>155</v>
      </c>
      <c r="E54" s="1167">
        <f>E50</f>
        <v>3400000</v>
      </c>
      <c r="F54" s="1163" t="s">
        <v>81</v>
      </c>
      <c r="G54" s="1147"/>
    </row>
    <row r="55" spans="2:11" s="1148" customFormat="1" ht="13.2">
      <c r="B55" s="1159"/>
      <c r="C55" s="1160">
        <v>8</v>
      </c>
      <c r="D55" s="1161" t="s">
        <v>138</v>
      </c>
      <c r="E55" s="1167">
        <v>110000</v>
      </c>
      <c r="F55" s="1163" t="s">
        <v>92</v>
      </c>
      <c r="G55" s="1147"/>
    </row>
    <row r="56" spans="2:11" s="1148" customFormat="1" ht="13.2">
      <c r="B56" s="1159"/>
      <c r="C56" s="1160">
        <v>9</v>
      </c>
      <c r="D56" s="1161" t="s">
        <v>208</v>
      </c>
      <c r="E56" s="1167">
        <v>80000</v>
      </c>
      <c r="F56" s="1163" t="s">
        <v>110</v>
      </c>
      <c r="G56" s="1147"/>
    </row>
    <row r="57" spans="2:11" s="1148" customFormat="1" ht="13.2">
      <c r="B57" s="1159"/>
      <c r="C57" s="1160">
        <v>10</v>
      </c>
      <c r="D57" s="1173" t="s">
        <v>120</v>
      </c>
      <c r="E57" s="1174">
        <v>15000</v>
      </c>
      <c r="F57" s="1163" t="s">
        <v>137</v>
      </c>
      <c r="G57" s="1147"/>
    </row>
    <row r="58" spans="2:11" s="1148" customFormat="1" ht="13.2">
      <c r="B58" s="1159"/>
      <c r="C58" s="1160">
        <v>11</v>
      </c>
      <c r="D58" s="1161" t="s">
        <v>219</v>
      </c>
      <c r="E58" s="1167">
        <v>25000</v>
      </c>
      <c r="F58" s="1163" t="s">
        <v>69</v>
      </c>
      <c r="G58" s="1147"/>
    </row>
    <row r="59" spans="2:11" s="1148" customFormat="1" ht="17.100000000000001" customHeight="1">
      <c r="B59" s="1159"/>
      <c r="C59" s="1160">
        <v>12</v>
      </c>
      <c r="D59" s="1161" t="s">
        <v>279</v>
      </c>
      <c r="E59" s="1167">
        <v>80000</v>
      </c>
      <c r="F59" s="1163" t="s">
        <v>110</v>
      </c>
      <c r="G59" s="1147"/>
    </row>
    <row r="60" spans="2:11" s="1148" customFormat="1" ht="13.2">
      <c r="B60" s="1159"/>
      <c r="C60" s="1160">
        <v>13</v>
      </c>
      <c r="D60" s="1161" t="s">
        <v>281</v>
      </c>
      <c r="E60" s="1167">
        <v>25000</v>
      </c>
      <c r="F60" s="1163" t="s">
        <v>21</v>
      </c>
      <c r="G60" s="1147"/>
    </row>
    <row r="61" spans="2:11" s="1148" customFormat="1" ht="13.2">
      <c r="B61" s="1159"/>
      <c r="C61" s="1160">
        <v>14</v>
      </c>
      <c r="D61" s="1161" t="s">
        <v>282</v>
      </c>
      <c r="E61" s="1167">
        <v>65000</v>
      </c>
      <c r="F61" s="1163" t="s">
        <v>321</v>
      </c>
      <c r="G61" s="1147"/>
    </row>
    <row r="62" spans="2:11" s="1148" customFormat="1" ht="13.2">
      <c r="B62" s="1159"/>
      <c r="C62" s="1160"/>
      <c r="D62" s="1161"/>
      <c r="E62" s="1167"/>
      <c r="F62" s="1163"/>
      <c r="G62" s="1147"/>
    </row>
    <row r="63" spans="2:11" s="1148" customFormat="1" ht="13.2">
      <c r="B63" s="1154" t="s">
        <v>162</v>
      </c>
      <c r="C63" s="1166"/>
      <c r="D63" s="1156" t="s">
        <v>322</v>
      </c>
      <c r="E63" s="1157"/>
      <c r="F63" s="1158"/>
      <c r="G63" s="1147"/>
    </row>
    <row r="64" spans="2:11" s="1148" customFormat="1" ht="13.2">
      <c r="B64" s="1159"/>
      <c r="C64" s="1160">
        <v>1</v>
      </c>
      <c r="D64" s="1161" t="s">
        <v>188</v>
      </c>
      <c r="E64" s="1167">
        <v>85000</v>
      </c>
      <c r="F64" s="1163" t="s">
        <v>133</v>
      </c>
      <c r="G64" s="1147"/>
    </row>
    <row r="65" spans="2:9" s="1148" customFormat="1" ht="13.2">
      <c r="B65" s="1159"/>
      <c r="C65" s="1160">
        <v>2</v>
      </c>
      <c r="D65" s="1161" t="s">
        <v>687</v>
      </c>
      <c r="E65" s="1167">
        <v>85000</v>
      </c>
      <c r="F65" s="1163" t="s">
        <v>133</v>
      </c>
      <c r="G65" s="1147"/>
    </row>
    <row r="66" spans="2:9" s="1148" customFormat="1" ht="13.2">
      <c r="B66" s="1159"/>
      <c r="C66" s="1160">
        <v>3</v>
      </c>
      <c r="D66" s="1161" t="s">
        <v>719</v>
      </c>
      <c r="E66" s="1167">
        <v>95000</v>
      </c>
      <c r="F66" s="1163" t="s">
        <v>133</v>
      </c>
      <c r="G66" s="1147"/>
    </row>
    <row r="67" spans="2:9" s="1148" customFormat="1" ht="13.2">
      <c r="B67" s="1159"/>
      <c r="C67" s="1160">
        <v>4</v>
      </c>
      <c r="D67" s="1161" t="s">
        <v>620</v>
      </c>
      <c r="E67" s="1167">
        <v>250000</v>
      </c>
      <c r="F67" s="1163" t="s">
        <v>133</v>
      </c>
      <c r="G67" s="1147"/>
    </row>
    <row r="68" spans="2:9" s="1148" customFormat="1" ht="13.2">
      <c r="B68" s="1159"/>
      <c r="C68" s="1160"/>
      <c r="D68" s="1161"/>
      <c r="E68" s="1167"/>
      <c r="F68" s="1163"/>
      <c r="G68" s="1147"/>
      <c r="I68" s="1148" t="s">
        <v>620</v>
      </c>
    </row>
    <row r="69" spans="2:9" s="1148" customFormat="1" ht="13.2">
      <c r="B69" s="1154" t="s">
        <v>163</v>
      </c>
      <c r="C69" s="1166"/>
      <c r="D69" s="1156" t="s">
        <v>323</v>
      </c>
      <c r="E69" s="1157"/>
      <c r="F69" s="1158"/>
      <c r="G69" s="1147"/>
    </row>
    <row r="70" spans="2:9" s="1148" customFormat="1" ht="13.2">
      <c r="B70" s="1159"/>
      <c r="C70" s="1160">
        <v>1</v>
      </c>
      <c r="D70" s="1161" t="s">
        <v>193</v>
      </c>
      <c r="E70" s="1167">
        <v>70000</v>
      </c>
      <c r="F70" s="1163" t="s">
        <v>21</v>
      </c>
      <c r="G70" s="1147"/>
    </row>
    <row r="71" spans="2:9" s="1148" customFormat="1" ht="13.2">
      <c r="B71" s="1159"/>
      <c r="C71" s="1160">
        <v>2</v>
      </c>
      <c r="D71" s="1161" t="s">
        <v>196</v>
      </c>
      <c r="E71" s="1167">
        <v>78000</v>
      </c>
      <c r="F71" s="1175" t="s">
        <v>137</v>
      </c>
      <c r="G71" s="1147"/>
    </row>
    <row r="72" spans="2:9" s="1148" customFormat="1" ht="13.2">
      <c r="B72" s="1159"/>
      <c r="C72" s="1160">
        <v>3</v>
      </c>
      <c r="D72" s="1161" t="s">
        <v>274</v>
      </c>
      <c r="E72" s="1167">
        <f>105000/6</f>
        <v>17500</v>
      </c>
      <c r="F72" s="1175" t="s">
        <v>21</v>
      </c>
      <c r="G72" s="1147"/>
    </row>
    <row r="73" spans="2:9" s="1148" customFormat="1" ht="13.2">
      <c r="B73" s="1159"/>
      <c r="C73" s="1160">
        <v>4</v>
      </c>
      <c r="D73" s="1161" t="s">
        <v>275</v>
      </c>
      <c r="E73" s="1167">
        <f>70000/6</f>
        <v>11666.666666666666</v>
      </c>
      <c r="F73" s="1175" t="s">
        <v>21</v>
      </c>
      <c r="G73" s="1147"/>
    </row>
    <row r="74" spans="2:9" s="1148" customFormat="1" ht="13.2">
      <c r="B74" s="1159"/>
      <c r="C74" s="1160">
        <v>5</v>
      </c>
      <c r="D74" s="1161" t="s">
        <v>276</v>
      </c>
      <c r="E74" s="1167">
        <v>850</v>
      </c>
      <c r="F74" s="1175" t="s">
        <v>23</v>
      </c>
      <c r="G74" s="1147"/>
    </row>
    <row r="75" spans="2:9" s="1148" customFormat="1" ht="13.2">
      <c r="B75" s="1159"/>
      <c r="C75" s="1160">
        <v>6</v>
      </c>
      <c r="D75" s="1161" t="s">
        <v>277</v>
      </c>
      <c r="E75" s="1167">
        <v>250</v>
      </c>
      <c r="F75" s="1175" t="s">
        <v>23</v>
      </c>
      <c r="G75" s="1147"/>
    </row>
    <row r="76" spans="2:9" s="1148" customFormat="1" ht="13.2">
      <c r="B76" s="1159"/>
      <c r="C76" s="1160"/>
      <c r="D76" s="1161"/>
      <c r="E76" s="1167"/>
      <c r="F76" s="1175"/>
      <c r="G76" s="1147"/>
    </row>
    <row r="77" spans="2:9" s="1148" customFormat="1" ht="13.2">
      <c r="B77" s="1154" t="s">
        <v>174</v>
      </c>
      <c r="C77" s="1166"/>
      <c r="D77" s="1156" t="s">
        <v>324</v>
      </c>
      <c r="E77" s="1157"/>
      <c r="F77" s="1158"/>
      <c r="G77" s="1147"/>
    </row>
    <row r="78" spans="2:9" s="1148" customFormat="1" ht="13.2">
      <c r="B78" s="1159"/>
      <c r="C78" s="1160">
        <v>1</v>
      </c>
      <c r="D78" s="1161" t="s">
        <v>103</v>
      </c>
      <c r="E78" s="1167">
        <v>20000</v>
      </c>
      <c r="F78" s="1163" t="s">
        <v>69</v>
      </c>
      <c r="G78" s="1147"/>
    </row>
    <row r="79" spans="2:9" s="1148" customFormat="1" ht="13.2">
      <c r="B79" s="1159"/>
      <c r="C79" s="1160">
        <v>2</v>
      </c>
      <c r="D79" s="1161" t="s">
        <v>209</v>
      </c>
      <c r="E79" s="1167">
        <v>20000</v>
      </c>
      <c r="F79" s="1163" t="s">
        <v>69</v>
      </c>
      <c r="G79" s="1147"/>
    </row>
    <row r="80" spans="2:9" s="1148" customFormat="1" ht="13.2">
      <c r="B80" s="1159"/>
      <c r="C80" s="1160">
        <v>3</v>
      </c>
      <c r="D80" s="1161" t="s">
        <v>218</v>
      </c>
      <c r="E80" s="1167">
        <v>20000</v>
      </c>
      <c r="F80" s="1163" t="s">
        <v>69</v>
      </c>
      <c r="G80" s="1147"/>
    </row>
    <row r="81" spans="2:8" s="1148" customFormat="1" ht="13.2">
      <c r="B81" s="1159"/>
      <c r="C81" s="1160">
        <v>4</v>
      </c>
      <c r="D81" s="1161" t="s">
        <v>197</v>
      </c>
      <c r="E81" s="1167">
        <v>20115.347222222223</v>
      </c>
      <c r="F81" s="1163" t="s">
        <v>23</v>
      </c>
      <c r="G81" s="1147"/>
    </row>
    <row r="82" spans="2:8" s="1148" customFormat="1" ht="13.2">
      <c r="B82" s="1159"/>
      <c r="C82" s="1160">
        <v>5</v>
      </c>
      <c r="D82" s="1161" t="s">
        <v>123</v>
      </c>
      <c r="E82" s="1167">
        <v>35000</v>
      </c>
      <c r="F82" s="1163" t="s">
        <v>69</v>
      </c>
      <c r="G82" s="1147"/>
    </row>
    <row r="83" spans="2:8" s="1148" customFormat="1" ht="13.2">
      <c r="B83" s="1159"/>
      <c r="C83" s="1160">
        <v>6</v>
      </c>
      <c r="D83" s="1161" t="s">
        <v>117</v>
      </c>
      <c r="E83" s="1167">
        <v>50000</v>
      </c>
      <c r="F83" s="1163" t="s">
        <v>69</v>
      </c>
      <c r="G83" s="1147"/>
    </row>
    <row r="84" spans="2:8" s="1148" customFormat="1" ht="13.2">
      <c r="B84" s="1159"/>
      <c r="C84" s="1160"/>
      <c r="D84" s="1161" t="s">
        <v>783</v>
      </c>
      <c r="E84" s="1167">
        <v>800000</v>
      </c>
      <c r="F84" s="1163" t="s">
        <v>62</v>
      </c>
      <c r="G84" s="1147"/>
    </row>
    <row r="85" spans="2:8" s="1148" customFormat="1" ht="13.2">
      <c r="B85" s="1159"/>
      <c r="C85" s="1160"/>
      <c r="D85" s="1161" t="s">
        <v>951</v>
      </c>
      <c r="E85" s="1167">
        <f>150000/6</f>
        <v>25000</v>
      </c>
      <c r="F85" s="1163" t="s">
        <v>21</v>
      </c>
      <c r="G85" s="1147"/>
    </row>
    <row r="86" spans="2:8" s="1148" customFormat="1" ht="13.2">
      <c r="B86" s="1159"/>
      <c r="C86" s="1160"/>
      <c r="D86" s="1161" t="s">
        <v>871</v>
      </c>
      <c r="E86" s="1167">
        <f>150000/10</f>
        <v>15000</v>
      </c>
      <c r="F86" s="1163" t="s">
        <v>21</v>
      </c>
      <c r="G86" s="1147"/>
    </row>
    <row r="87" spans="2:8" s="1148" customFormat="1" ht="13.2">
      <c r="B87" s="1159"/>
      <c r="C87" s="1160"/>
      <c r="D87" s="1161"/>
      <c r="E87" s="1167"/>
      <c r="F87" s="1163"/>
      <c r="G87" s="1147"/>
    </row>
    <row r="88" spans="2:8" s="1148" customFormat="1" ht="13.2">
      <c r="B88" s="1154" t="s">
        <v>325</v>
      </c>
      <c r="C88" s="1166"/>
      <c r="D88" s="1156" t="s">
        <v>326</v>
      </c>
      <c r="E88" s="1157"/>
      <c r="F88" s="1158"/>
      <c r="G88" s="1147"/>
      <c r="H88" s="1148" t="s">
        <v>617</v>
      </c>
    </row>
    <row r="89" spans="2:8" s="1148" customFormat="1" ht="13.2">
      <c r="B89" s="1159"/>
      <c r="C89" s="1160">
        <v>1</v>
      </c>
      <c r="D89" s="1161" t="s">
        <v>225</v>
      </c>
      <c r="E89" s="1167">
        <v>120000</v>
      </c>
      <c r="F89" s="1163" t="s">
        <v>133</v>
      </c>
      <c r="G89" s="1147"/>
    </row>
    <row r="90" spans="2:8" s="1148" customFormat="1" ht="13.2">
      <c r="B90" s="1159"/>
      <c r="C90" s="1160">
        <v>2</v>
      </c>
      <c r="D90" s="1161" t="s">
        <v>255</v>
      </c>
      <c r="E90" s="1167">
        <v>175000</v>
      </c>
      <c r="F90" s="1163" t="s">
        <v>22</v>
      </c>
      <c r="G90" s="1147"/>
      <c r="H90" s="1148" t="s">
        <v>416</v>
      </c>
    </row>
    <row r="91" spans="2:8" s="1148" customFormat="1" ht="13.2">
      <c r="B91" s="1159"/>
      <c r="C91" s="1160">
        <v>3</v>
      </c>
      <c r="D91" s="1161" t="s">
        <v>258</v>
      </c>
      <c r="E91" s="1167">
        <v>35000</v>
      </c>
      <c r="F91" s="1163" t="s">
        <v>23</v>
      </c>
      <c r="G91" s="1147"/>
    </row>
    <row r="92" spans="2:8" s="1148" customFormat="1" ht="13.2">
      <c r="B92" s="1159"/>
      <c r="C92" s="1160">
        <v>4</v>
      </c>
      <c r="D92" s="1161" t="s">
        <v>261</v>
      </c>
      <c r="E92" s="1167">
        <v>25000</v>
      </c>
      <c r="F92" s="1163" t="s">
        <v>23</v>
      </c>
      <c r="G92" s="1147"/>
    </row>
    <row r="93" spans="2:8" s="1148" customFormat="1" ht="13.2">
      <c r="B93" s="1159"/>
      <c r="C93" s="1160">
        <v>4</v>
      </c>
      <c r="D93" s="1161" t="s">
        <v>857</v>
      </c>
      <c r="E93" s="1167">
        <f>31000*1.15</f>
        <v>35650</v>
      </c>
      <c r="F93" s="1163" t="s">
        <v>23</v>
      </c>
      <c r="G93" s="1147"/>
    </row>
    <row r="94" spans="2:8" s="1148" customFormat="1" ht="13.2">
      <c r="B94" s="1159"/>
      <c r="C94" s="1160">
        <v>5</v>
      </c>
      <c r="D94" s="1161" t="s">
        <v>264</v>
      </c>
      <c r="E94" s="1167">
        <v>15000</v>
      </c>
      <c r="F94" s="1163" t="s">
        <v>23</v>
      </c>
      <c r="G94" s="1147"/>
    </row>
    <row r="95" spans="2:8" s="1148" customFormat="1" ht="13.2">
      <c r="B95" s="1159"/>
      <c r="C95" s="1160">
        <v>6</v>
      </c>
      <c r="D95" s="1161" t="s">
        <v>267</v>
      </c>
      <c r="E95" s="1167">
        <v>25000</v>
      </c>
      <c r="F95" s="1163" t="s">
        <v>23</v>
      </c>
      <c r="G95" s="1147"/>
    </row>
    <row r="96" spans="2:8" s="1148" customFormat="1" ht="13.2">
      <c r="B96" s="1159"/>
      <c r="C96" s="1160">
        <v>7</v>
      </c>
      <c r="D96" s="1161" t="s">
        <v>270</v>
      </c>
      <c r="E96" s="1167">
        <v>15000</v>
      </c>
      <c r="F96" s="1163" t="s">
        <v>23</v>
      </c>
      <c r="G96" s="1147"/>
    </row>
    <row r="97" spans="2:10" s="1148" customFormat="1" ht="13.2">
      <c r="B97" s="1159"/>
      <c r="C97" s="1160">
        <v>8</v>
      </c>
      <c r="D97" s="1161" t="s">
        <v>865</v>
      </c>
      <c r="E97" s="1167">
        <v>45000</v>
      </c>
      <c r="F97" s="1163" t="s">
        <v>22</v>
      </c>
      <c r="G97" s="1147"/>
    </row>
    <row r="98" spans="2:10" s="1148" customFormat="1" ht="13.2">
      <c r="B98" s="1159"/>
      <c r="C98" s="1160">
        <v>8</v>
      </c>
      <c r="D98" s="1161" t="s">
        <v>864</v>
      </c>
      <c r="E98" s="1167">
        <f>250000*1.2</f>
        <v>300000</v>
      </c>
      <c r="F98" s="1163" t="s">
        <v>22</v>
      </c>
      <c r="G98" s="1147"/>
    </row>
    <row r="99" spans="2:10" s="1148" customFormat="1" ht="13.2">
      <c r="B99" s="1159"/>
      <c r="C99" s="1160">
        <v>9</v>
      </c>
      <c r="D99" s="1148" t="s">
        <v>416</v>
      </c>
      <c r="E99" s="1167">
        <v>132000</v>
      </c>
      <c r="F99" s="1163" t="s">
        <v>62</v>
      </c>
      <c r="G99" s="1147"/>
    </row>
    <row r="100" spans="2:10" s="1148" customFormat="1" ht="13.2">
      <c r="B100" s="1159"/>
      <c r="C100" s="1160">
        <v>9</v>
      </c>
      <c r="D100" s="1148" t="s">
        <v>617</v>
      </c>
      <c r="E100" s="1167">
        <v>85000</v>
      </c>
      <c r="F100" s="1163" t="s">
        <v>62</v>
      </c>
      <c r="G100" s="1147"/>
    </row>
    <row r="101" spans="2:10" s="1148" customFormat="1" ht="13.2">
      <c r="B101" s="1159"/>
      <c r="C101" s="1160"/>
      <c r="D101" s="1161"/>
      <c r="E101" s="1167"/>
      <c r="F101" s="1163"/>
      <c r="G101" s="1147"/>
      <c r="H101" s="1148" t="s">
        <v>838</v>
      </c>
    </row>
    <row r="102" spans="2:10" s="1148" customFormat="1" ht="13.2">
      <c r="B102" s="1154" t="s">
        <v>2</v>
      </c>
      <c r="C102" s="1166"/>
      <c r="D102" s="1156" t="s">
        <v>327</v>
      </c>
      <c r="E102" s="1157"/>
      <c r="F102" s="1158"/>
      <c r="G102" s="1147"/>
    </row>
    <row r="103" spans="2:10" s="1148" customFormat="1" ht="13.2">
      <c r="B103" s="1159"/>
      <c r="C103" s="1160">
        <v>1</v>
      </c>
      <c r="D103" s="1161" t="s">
        <v>130</v>
      </c>
      <c r="E103" s="1167">
        <v>8000</v>
      </c>
      <c r="F103" s="1163" t="s">
        <v>110</v>
      </c>
      <c r="G103" s="1147"/>
    </row>
    <row r="104" spans="2:10" s="1148" customFormat="1" ht="13.2">
      <c r="B104" s="1159"/>
      <c r="C104" s="1160">
        <v>2</v>
      </c>
      <c r="D104" s="1161" t="s">
        <v>128</v>
      </c>
      <c r="E104" s="1167">
        <v>75000</v>
      </c>
      <c r="F104" s="1163" t="s">
        <v>69</v>
      </c>
      <c r="G104" s="1147"/>
    </row>
    <row r="105" spans="2:10" s="1148" customFormat="1" ht="13.2">
      <c r="B105" s="1159"/>
      <c r="C105" s="1160">
        <v>3</v>
      </c>
      <c r="D105" s="1161" t="s">
        <v>127</v>
      </c>
      <c r="E105" s="1167">
        <v>75000</v>
      </c>
      <c r="F105" s="1163" t="s">
        <v>69</v>
      </c>
      <c r="G105" s="1147"/>
    </row>
    <row r="106" spans="2:10" s="1148" customFormat="1" ht="13.2">
      <c r="B106" s="1159"/>
      <c r="C106" s="1160">
        <v>4</v>
      </c>
      <c r="D106" s="1161" t="s">
        <v>201</v>
      </c>
      <c r="E106" s="1167">
        <v>120000</v>
      </c>
      <c r="F106" s="1163" t="s">
        <v>69</v>
      </c>
      <c r="G106" s="1147"/>
      <c r="I106" s="1176" t="s">
        <v>599</v>
      </c>
      <c r="J106" s="1177" t="s">
        <v>69</v>
      </c>
    </row>
    <row r="107" spans="2:10" s="1148" customFormat="1" ht="13.2">
      <c r="B107" s="1159"/>
      <c r="C107" s="1160">
        <v>5</v>
      </c>
      <c r="D107" s="1161" t="s">
        <v>234</v>
      </c>
      <c r="E107" s="1167">
        <v>95000</v>
      </c>
      <c r="F107" s="1163" t="s">
        <v>69</v>
      </c>
      <c r="G107" s="1147"/>
      <c r="I107" s="1176" t="s">
        <v>600</v>
      </c>
      <c r="J107" s="1177" t="s">
        <v>69</v>
      </c>
    </row>
    <row r="108" spans="2:10" s="1148" customFormat="1" ht="13.2">
      <c r="B108" s="1159"/>
      <c r="C108" s="1160">
        <v>6</v>
      </c>
      <c r="D108" s="1161" t="s">
        <v>599</v>
      </c>
      <c r="E108" s="1167">
        <v>245000</v>
      </c>
      <c r="F108" s="1163" t="s">
        <v>69</v>
      </c>
      <c r="G108" s="1147"/>
      <c r="I108" s="1176" t="s">
        <v>601</v>
      </c>
      <c r="J108" s="1177" t="s">
        <v>69</v>
      </c>
    </row>
    <row r="109" spans="2:10" s="1148" customFormat="1" ht="13.2">
      <c r="B109" s="1159"/>
      <c r="C109" s="1160">
        <v>7</v>
      </c>
      <c r="D109" s="1161" t="s">
        <v>600</v>
      </c>
      <c r="E109" s="1167">
        <v>195000</v>
      </c>
      <c r="F109" s="1163" t="s">
        <v>69</v>
      </c>
      <c r="G109" s="1147"/>
      <c r="I109" s="1176" t="s">
        <v>602</v>
      </c>
      <c r="J109" s="1177"/>
    </row>
    <row r="110" spans="2:10" s="1148" customFormat="1" ht="13.2">
      <c r="B110" s="1159"/>
      <c r="C110" s="1160">
        <v>8</v>
      </c>
      <c r="D110" s="1161" t="s">
        <v>601</v>
      </c>
      <c r="E110" s="1167">
        <v>130000</v>
      </c>
      <c r="F110" s="1163" t="s">
        <v>69</v>
      </c>
      <c r="G110" s="1147"/>
      <c r="I110" s="1176" t="s">
        <v>603</v>
      </c>
      <c r="J110" s="1177"/>
    </row>
    <row r="111" spans="2:10" s="1148" customFormat="1" ht="13.2">
      <c r="B111" s="1159"/>
      <c r="C111" s="1160">
        <v>9</v>
      </c>
      <c r="D111" s="1161" t="s">
        <v>602</v>
      </c>
      <c r="E111" s="1167">
        <v>25000</v>
      </c>
      <c r="F111" s="1163" t="s">
        <v>92</v>
      </c>
      <c r="G111" s="1147"/>
      <c r="I111" s="1176"/>
      <c r="J111" s="1177"/>
    </row>
    <row r="112" spans="2:10" s="1148" customFormat="1" ht="13.2">
      <c r="B112" s="1159"/>
      <c r="C112" s="1160">
        <v>10</v>
      </c>
      <c r="D112" s="1161" t="s">
        <v>121</v>
      </c>
      <c r="E112" s="1167">
        <v>55000</v>
      </c>
      <c r="F112" s="1163" t="s">
        <v>69</v>
      </c>
      <c r="G112" s="1147"/>
      <c r="H112" s="1148" t="s">
        <v>599</v>
      </c>
      <c r="I112" s="1176" t="s">
        <v>602</v>
      </c>
      <c r="J112" s="1177" t="s">
        <v>92</v>
      </c>
    </row>
    <row r="113" spans="2:10" s="1148" customFormat="1" ht="13.2">
      <c r="B113" s="1159"/>
      <c r="C113" s="1160">
        <v>11</v>
      </c>
      <c r="D113" s="1161" t="s">
        <v>202</v>
      </c>
      <c r="E113" s="1167">
        <v>30000</v>
      </c>
      <c r="F113" s="1163" t="s">
        <v>23</v>
      </c>
      <c r="G113" s="1147"/>
      <c r="I113" s="1176" t="s">
        <v>603</v>
      </c>
      <c r="J113" s="1177" t="s">
        <v>604</v>
      </c>
    </row>
    <row r="114" spans="2:10" s="1148" customFormat="1" ht="13.2">
      <c r="B114" s="1159"/>
      <c r="C114" s="1160">
        <v>12</v>
      </c>
      <c r="D114" s="1161" t="s">
        <v>129</v>
      </c>
      <c r="E114" s="1167">
        <v>15000</v>
      </c>
      <c r="F114" s="1163" t="s">
        <v>69</v>
      </c>
      <c r="G114" s="1147"/>
    </row>
    <row r="115" spans="2:10" s="1148" customFormat="1" ht="13.2">
      <c r="B115" s="1159"/>
      <c r="C115" s="1160">
        <v>13</v>
      </c>
      <c r="D115" s="1161" t="s">
        <v>125</v>
      </c>
      <c r="E115" s="1167">
        <v>15000</v>
      </c>
      <c r="F115" s="1163" t="s">
        <v>69</v>
      </c>
      <c r="G115" s="1147"/>
      <c r="I115" s="1176" t="s">
        <v>599</v>
      </c>
    </row>
    <row r="116" spans="2:10" s="1148" customFormat="1" ht="13.2">
      <c r="B116" s="1159"/>
      <c r="C116" s="1160">
        <v>14</v>
      </c>
      <c r="D116" s="1161" t="s">
        <v>101</v>
      </c>
      <c r="E116" s="1167">
        <v>35000</v>
      </c>
      <c r="F116" s="1163" t="s">
        <v>92</v>
      </c>
      <c r="G116" s="1147"/>
      <c r="I116" s="1176" t="s">
        <v>600</v>
      </c>
    </row>
    <row r="117" spans="2:10" s="1148" customFormat="1" ht="13.2">
      <c r="B117" s="1159"/>
      <c r="C117" s="1160"/>
      <c r="D117" s="1161"/>
      <c r="E117" s="1167"/>
      <c r="F117" s="1163"/>
      <c r="G117" s="1147"/>
      <c r="I117" s="1176" t="s">
        <v>601</v>
      </c>
    </row>
    <row r="118" spans="2:10" s="1148" customFormat="1" ht="13.2" hidden="1">
      <c r="B118" s="1154" t="s">
        <v>328</v>
      </c>
      <c r="C118" s="1166"/>
      <c r="D118" s="1156" t="s">
        <v>329</v>
      </c>
      <c r="E118" s="1157"/>
      <c r="F118" s="1158"/>
      <c r="G118" s="1147"/>
      <c r="I118" s="1176" t="s">
        <v>602</v>
      </c>
    </row>
    <row r="119" spans="2:10" s="1148" customFormat="1" ht="13.2" hidden="1">
      <c r="B119" s="1159"/>
      <c r="C119" s="1160">
        <v>1</v>
      </c>
      <c r="D119" s="1161" t="s">
        <v>285</v>
      </c>
      <c r="E119" s="1167">
        <f>80000/6</f>
        <v>13333.333333333334</v>
      </c>
      <c r="F119" s="1163" t="s">
        <v>21</v>
      </c>
      <c r="G119" s="1147"/>
      <c r="I119" s="1176" t="s">
        <v>603</v>
      </c>
    </row>
    <row r="120" spans="2:10" s="1148" customFormat="1" ht="13.2" hidden="1">
      <c r="B120" s="1159"/>
      <c r="C120" s="1160">
        <v>2</v>
      </c>
      <c r="D120" s="1161" t="s">
        <v>287</v>
      </c>
      <c r="E120" s="1167">
        <f>150000/6</f>
        <v>25000</v>
      </c>
      <c r="F120" s="1163" t="s">
        <v>21</v>
      </c>
      <c r="G120" s="1147"/>
    </row>
    <row r="121" spans="2:10" s="1148" customFormat="1" ht="13.2" hidden="1">
      <c r="B121" s="1159"/>
      <c r="C121" s="1160">
        <v>3</v>
      </c>
      <c r="D121" s="1161" t="s">
        <v>288</v>
      </c>
      <c r="E121" s="1167">
        <f>250000/6</f>
        <v>41666.666666666664</v>
      </c>
      <c r="F121" s="1163" t="s">
        <v>21</v>
      </c>
      <c r="G121" s="1147"/>
    </row>
    <row r="122" spans="2:10" s="1148" customFormat="1" ht="13.2" hidden="1">
      <c r="B122" s="1159"/>
      <c r="C122" s="1160">
        <v>4</v>
      </c>
      <c r="D122" s="1161" t="s">
        <v>283</v>
      </c>
      <c r="E122" s="1167">
        <v>1000000</v>
      </c>
      <c r="F122" s="1163" t="s">
        <v>62</v>
      </c>
      <c r="G122" s="1147"/>
    </row>
    <row r="123" spans="2:10" s="1148" customFormat="1" ht="13.2" hidden="1">
      <c r="B123" s="1159"/>
      <c r="C123" s="1160"/>
      <c r="D123" s="1161"/>
      <c r="E123" s="1167"/>
      <c r="F123" s="1163"/>
      <c r="G123" s="1147"/>
    </row>
    <row r="124" spans="2:10" s="1148" customFormat="1" ht="13.2">
      <c r="B124" s="1154" t="s">
        <v>328</v>
      </c>
      <c r="C124" s="1160"/>
      <c r="D124" s="1156" t="s">
        <v>331</v>
      </c>
      <c r="E124" s="1157"/>
      <c r="F124" s="1163"/>
      <c r="G124" s="1147"/>
    </row>
    <row r="125" spans="2:10" s="1148" customFormat="1" ht="13.2">
      <c r="B125" s="1154"/>
      <c r="C125" s="1160">
        <v>1</v>
      </c>
      <c r="D125" s="1178" t="s">
        <v>292</v>
      </c>
      <c r="E125" s="1167">
        <v>10000</v>
      </c>
      <c r="F125" s="1163" t="s">
        <v>21</v>
      </c>
      <c r="G125" s="1147"/>
    </row>
    <row r="126" spans="2:10" s="1148" customFormat="1" ht="13.2">
      <c r="B126" s="1154"/>
      <c r="C126" s="1160">
        <v>2</v>
      </c>
      <c r="D126" s="1178" t="s">
        <v>312</v>
      </c>
      <c r="E126" s="1167">
        <v>11000</v>
      </c>
      <c r="F126" s="1163" t="s">
        <v>21</v>
      </c>
      <c r="G126" s="1147"/>
    </row>
    <row r="127" spans="2:10" s="1148" customFormat="1" ht="13.2">
      <c r="B127" s="1154"/>
      <c r="C127" s="1160">
        <v>3</v>
      </c>
      <c r="D127" s="1178" t="s">
        <v>293</v>
      </c>
      <c r="E127" s="1167">
        <v>12000</v>
      </c>
      <c r="F127" s="1163" t="s">
        <v>137</v>
      </c>
      <c r="G127" s="1147"/>
    </row>
    <row r="128" spans="2:10" s="1148" customFormat="1" ht="13.2">
      <c r="B128" s="1154"/>
      <c r="C128" s="1160">
        <v>4</v>
      </c>
      <c r="D128" s="1178" t="s">
        <v>297</v>
      </c>
      <c r="E128" s="1167">
        <v>10000</v>
      </c>
      <c r="F128" s="1163" t="s">
        <v>23</v>
      </c>
      <c r="G128" s="1147"/>
    </row>
    <row r="129" spans="2:7" s="1148" customFormat="1" ht="13.2">
      <c r="B129" s="1154"/>
      <c r="C129" s="1160">
        <v>5</v>
      </c>
      <c r="D129" s="1178" t="s">
        <v>74</v>
      </c>
      <c r="E129" s="1167">
        <v>20000</v>
      </c>
      <c r="F129" s="1163" t="s">
        <v>23</v>
      </c>
      <c r="G129" s="1147"/>
    </row>
    <row r="130" spans="2:7" s="1148" customFormat="1" ht="13.2">
      <c r="B130" s="1154"/>
      <c r="C130" s="1160">
        <v>6</v>
      </c>
      <c r="D130" s="1178" t="s">
        <v>301</v>
      </c>
      <c r="E130" s="1167">
        <v>15000</v>
      </c>
      <c r="F130" s="1163" t="s">
        <v>23</v>
      </c>
      <c r="G130" s="1147"/>
    </row>
    <row r="131" spans="2:7" s="1148" customFormat="1" ht="13.2">
      <c r="B131" s="1154"/>
      <c r="C131" s="1160">
        <v>7</v>
      </c>
      <c r="D131" s="1178" t="s">
        <v>298</v>
      </c>
      <c r="E131" s="1167">
        <v>12000</v>
      </c>
      <c r="F131" s="1163" t="s">
        <v>23</v>
      </c>
      <c r="G131" s="1147"/>
    </row>
    <row r="132" spans="2:7" s="1148" customFormat="1" ht="13.2">
      <c r="B132" s="1154"/>
      <c r="C132" s="1160">
        <v>8</v>
      </c>
      <c r="D132" s="1178" t="s">
        <v>769</v>
      </c>
      <c r="E132" s="1167">
        <v>30000</v>
      </c>
      <c r="F132" s="1163" t="s">
        <v>23</v>
      </c>
      <c r="G132" s="1147"/>
    </row>
    <row r="133" spans="2:7" s="1148" customFormat="1" ht="13.2">
      <c r="B133" s="1154"/>
      <c r="C133" s="1160">
        <v>8</v>
      </c>
      <c r="D133" s="1178" t="s">
        <v>306</v>
      </c>
      <c r="E133" s="1167">
        <v>40000</v>
      </c>
      <c r="F133" s="1163" t="s">
        <v>23</v>
      </c>
      <c r="G133" s="1147"/>
    </row>
    <row r="134" spans="2:7" s="1148" customFormat="1" ht="13.2">
      <c r="B134" s="1154"/>
      <c r="C134" s="1160">
        <v>9</v>
      </c>
      <c r="D134" s="1178" t="s">
        <v>608</v>
      </c>
      <c r="E134" s="1167">
        <v>210000</v>
      </c>
      <c r="F134" s="1163" t="s">
        <v>62</v>
      </c>
      <c r="G134" s="1147"/>
    </row>
    <row r="135" spans="2:7" s="1148" customFormat="1" ht="13.2">
      <c r="B135" s="1154"/>
      <c r="C135" s="1160">
        <v>10</v>
      </c>
      <c r="D135" s="1178" t="s">
        <v>609</v>
      </c>
      <c r="E135" s="1167">
        <v>65000</v>
      </c>
      <c r="F135" s="1163" t="s">
        <v>23</v>
      </c>
      <c r="G135" s="1147"/>
    </row>
    <row r="136" spans="2:7" s="1148" customFormat="1" ht="13.2">
      <c r="B136" s="1154"/>
      <c r="C136" s="1160">
        <v>11</v>
      </c>
      <c r="D136" s="1178" t="s">
        <v>770</v>
      </c>
      <c r="E136" s="1167">
        <v>50000</v>
      </c>
      <c r="F136" s="1163" t="s">
        <v>23</v>
      </c>
      <c r="G136" s="1147"/>
    </row>
    <row r="137" spans="2:7" s="1148" customFormat="1" ht="13.2">
      <c r="B137" s="1154"/>
      <c r="C137" s="1160">
        <v>11</v>
      </c>
      <c r="D137" s="1178" t="s">
        <v>307</v>
      </c>
      <c r="E137" s="1167">
        <v>50000</v>
      </c>
      <c r="F137" s="1163" t="s">
        <v>23</v>
      </c>
      <c r="G137" s="1147"/>
    </row>
    <row r="138" spans="2:7" s="1148" customFormat="1" ht="13.2">
      <c r="B138" s="1154"/>
      <c r="C138" s="1160">
        <v>12</v>
      </c>
      <c r="D138" s="1178" t="s">
        <v>310</v>
      </c>
      <c r="E138" s="1167">
        <v>300000</v>
      </c>
      <c r="F138" s="1163" t="s">
        <v>23</v>
      </c>
      <c r="G138" s="1147"/>
    </row>
    <row r="139" spans="2:7" s="1148" customFormat="1" ht="13.2">
      <c r="B139" s="1154"/>
      <c r="C139" s="1160">
        <v>13</v>
      </c>
      <c r="D139" s="1178" t="s">
        <v>311</v>
      </c>
      <c r="E139" s="1167">
        <v>120000</v>
      </c>
      <c r="F139" s="1163" t="s">
        <v>23</v>
      </c>
      <c r="G139" s="1147"/>
    </row>
    <row r="140" spans="2:7" s="1148" customFormat="1" ht="13.2">
      <c r="B140" s="1154"/>
      <c r="C140" s="1160"/>
      <c r="D140" s="1178"/>
      <c r="E140" s="1167"/>
      <c r="F140" s="1163"/>
      <c r="G140" s="1147"/>
    </row>
    <row r="141" spans="2:7" s="1148" customFormat="1" ht="13.2">
      <c r="B141" s="1154" t="s">
        <v>328</v>
      </c>
      <c r="C141" s="1166"/>
      <c r="D141" s="1156" t="s">
        <v>778</v>
      </c>
      <c r="E141" s="1157"/>
      <c r="F141" s="1158"/>
      <c r="G141" s="1147"/>
    </row>
    <row r="142" spans="2:7" s="1148" customFormat="1" ht="13.2">
      <c r="B142" s="1159"/>
      <c r="C142" s="1160">
        <v>1</v>
      </c>
      <c r="D142" s="1161" t="s">
        <v>474</v>
      </c>
      <c r="E142" s="1167">
        <v>1500000</v>
      </c>
      <c r="F142" s="1163" t="s">
        <v>22</v>
      </c>
      <c r="G142" s="1147"/>
    </row>
    <row r="143" spans="2:7" s="1148" customFormat="1" ht="13.2">
      <c r="B143" s="1159"/>
      <c r="C143" s="1160">
        <v>2</v>
      </c>
      <c r="D143" s="1148" t="s">
        <v>923</v>
      </c>
      <c r="E143" s="1167">
        <v>2500000</v>
      </c>
      <c r="F143" s="1163" t="s">
        <v>22</v>
      </c>
      <c r="G143" s="1147"/>
    </row>
    <row r="144" spans="2:7" s="1148" customFormat="1" ht="13.2">
      <c r="B144" s="1159"/>
      <c r="C144" s="1160">
        <v>3</v>
      </c>
      <c r="D144" s="1161" t="s">
        <v>735</v>
      </c>
      <c r="E144" s="1167">
        <v>4000000</v>
      </c>
      <c r="F144" s="1163" t="s">
        <v>22</v>
      </c>
      <c r="G144" s="1147"/>
    </row>
    <row r="145" spans="2:9" s="1148" customFormat="1" ht="13.2">
      <c r="B145" s="1159"/>
      <c r="C145" s="1160">
        <v>4</v>
      </c>
      <c r="D145" s="1161" t="s">
        <v>738</v>
      </c>
      <c r="E145" s="1167">
        <v>700000</v>
      </c>
      <c r="F145" s="1163" t="s">
        <v>62</v>
      </c>
      <c r="G145" s="1147"/>
    </row>
    <row r="146" spans="2:9" s="1148" customFormat="1" ht="13.2">
      <c r="B146" s="1159"/>
      <c r="C146" s="1160">
        <v>5</v>
      </c>
      <c r="D146" s="1161" t="s">
        <v>749</v>
      </c>
      <c r="E146" s="1167">
        <v>2000000</v>
      </c>
      <c r="F146" s="1163" t="s">
        <v>22</v>
      </c>
      <c r="G146" s="1147"/>
    </row>
    <row r="147" spans="2:9" s="1148" customFormat="1" ht="13.2">
      <c r="B147" s="1159"/>
      <c r="C147" s="1160">
        <v>6</v>
      </c>
      <c r="D147" s="1161" t="s">
        <v>755</v>
      </c>
      <c r="E147" s="1167">
        <v>50000</v>
      </c>
      <c r="F147" s="1163" t="s">
        <v>23</v>
      </c>
      <c r="G147" s="1147"/>
      <c r="H147" s="1179" t="s">
        <v>517</v>
      </c>
    </row>
    <row r="148" spans="2:9" s="1148" customFormat="1" ht="13.2">
      <c r="B148" s="1159"/>
      <c r="C148" s="1160">
        <v>7</v>
      </c>
      <c r="D148" s="1179" t="s">
        <v>517</v>
      </c>
      <c r="E148" s="1167">
        <f>228000*1.1</f>
        <v>250800.00000000003</v>
      </c>
      <c r="F148" s="1163" t="s">
        <v>23</v>
      </c>
      <c r="G148" s="1147"/>
      <c r="H148" s="1179" t="s">
        <v>517</v>
      </c>
    </row>
    <row r="149" spans="2:9" s="1148" customFormat="1" ht="13.2">
      <c r="B149" s="1159"/>
      <c r="C149" s="1160">
        <v>8</v>
      </c>
      <c r="D149" s="1161" t="s">
        <v>776</v>
      </c>
      <c r="E149" s="1167">
        <v>150000</v>
      </c>
      <c r="F149" s="1163" t="s">
        <v>22</v>
      </c>
      <c r="G149" s="1147"/>
      <c r="H149" s="1179" t="s">
        <v>641</v>
      </c>
    </row>
    <row r="150" spans="2:9" s="1148" customFormat="1" ht="13.2">
      <c r="B150" s="1159"/>
      <c r="C150" s="1160">
        <v>9</v>
      </c>
      <c r="D150" s="1161" t="s">
        <v>775</v>
      </c>
      <c r="E150" s="1167">
        <v>700000</v>
      </c>
      <c r="F150" s="1163" t="s">
        <v>22</v>
      </c>
      <c r="G150" s="1147"/>
    </row>
    <row r="151" spans="2:9" s="1148" customFormat="1" ht="13.2">
      <c r="B151" s="1159"/>
      <c r="C151" s="1160">
        <v>10</v>
      </c>
      <c r="D151" s="1161" t="s">
        <v>756</v>
      </c>
      <c r="E151" s="1167">
        <v>10000</v>
      </c>
      <c r="F151" s="1163" t="s">
        <v>23</v>
      </c>
      <c r="G151" s="1147"/>
    </row>
    <row r="152" spans="2:9" s="1148" customFormat="1" ht="13.2">
      <c r="B152" s="1159"/>
      <c r="C152" s="1160">
        <v>11</v>
      </c>
      <c r="D152" s="1161" t="s">
        <v>752</v>
      </c>
      <c r="E152" s="1167">
        <v>120000</v>
      </c>
      <c r="F152" s="1163" t="s">
        <v>23</v>
      </c>
      <c r="G152" s="1147"/>
    </row>
    <row r="153" spans="2:9" s="1148" customFormat="1" ht="13.2">
      <c r="B153" s="1159"/>
      <c r="C153" s="1160">
        <v>12</v>
      </c>
      <c r="D153" s="1161" t="s">
        <v>757</v>
      </c>
      <c r="E153" s="1167">
        <v>250000</v>
      </c>
      <c r="F153" s="1163" t="s">
        <v>23</v>
      </c>
      <c r="G153" s="1147"/>
    </row>
    <row r="154" spans="2:9" s="1148" customFormat="1" ht="13.2">
      <c r="B154" s="1159"/>
      <c r="C154" s="1160">
        <v>13</v>
      </c>
      <c r="D154" s="1161" t="s">
        <v>781</v>
      </c>
      <c r="E154" s="1167">
        <v>150000</v>
      </c>
      <c r="F154" s="1163" t="s">
        <v>23</v>
      </c>
      <c r="G154" s="1147"/>
      <c r="I154" s="1148" t="s">
        <v>923</v>
      </c>
    </row>
    <row r="155" spans="2:9" s="1148" customFormat="1" ht="13.2">
      <c r="B155" s="1154"/>
      <c r="C155" s="1166"/>
      <c r="D155" s="1156"/>
      <c r="E155" s="1157"/>
      <c r="F155" s="1163"/>
      <c r="G155" s="1147"/>
    </row>
    <row r="156" spans="2:9" s="1148" customFormat="1" ht="13.2">
      <c r="B156" s="1154" t="s">
        <v>330</v>
      </c>
      <c r="C156" s="1166"/>
      <c r="D156" s="1156" t="s">
        <v>777</v>
      </c>
      <c r="E156" s="1157"/>
      <c r="F156" s="1163"/>
      <c r="G156" s="1147"/>
    </row>
    <row r="157" spans="2:9" s="1148" customFormat="1" ht="13.2">
      <c r="B157" s="1159"/>
      <c r="C157" s="1160">
        <v>1</v>
      </c>
      <c r="D157" s="1161" t="s">
        <v>285</v>
      </c>
      <c r="E157" s="1167">
        <f>40000/6</f>
        <v>6666.666666666667</v>
      </c>
      <c r="F157" s="1163" t="s">
        <v>21</v>
      </c>
      <c r="G157" s="1147"/>
    </row>
    <row r="158" spans="2:9" s="1148" customFormat="1" ht="13.2">
      <c r="B158" s="1159"/>
      <c r="C158" s="1160">
        <v>2</v>
      </c>
      <c r="D158" s="1161" t="s">
        <v>760</v>
      </c>
      <c r="E158" s="1167">
        <f>50000/6</f>
        <v>8333.3333333333339</v>
      </c>
      <c r="F158" s="1163" t="s">
        <v>21</v>
      </c>
      <c r="G158" s="1147"/>
    </row>
    <row r="159" spans="2:9" s="1148" customFormat="1" ht="13.2">
      <c r="B159" s="1159"/>
      <c r="C159" s="1160">
        <v>3</v>
      </c>
      <c r="D159" s="1161" t="s">
        <v>762</v>
      </c>
      <c r="E159" s="1167">
        <f>60000/6</f>
        <v>10000</v>
      </c>
      <c r="F159" s="1163" t="s">
        <v>21</v>
      </c>
      <c r="G159" s="1147"/>
    </row>
    <row r="160" spans="2:9" s="1148" customFormat="1" ht="13.2">
      <c r="B160" s="1159"/>
      <c r="C160" s="1160">
        <v>4</v>
      </c>
      <c r="D160" s="1161" t="s">
        <v>764</v>
      </c>
      <c r="E160" s="1167">
        <f>80000/6</f>
        <v>13333.333333333334</v>
      </c>
      <c r="F160" s="1163" t="s">
        <v>21</v>
      </c>
      <c r="G160" s="1147"/>
    </row>
    <row r="161" spans="2:7" s="1148" customFormat="1" ht="13.2">
      <c r="B161" s="1159"/>
      <c r="C161" s="1160">
        <v>5</v>
      </c>
      <c r="D161" s="1161" t="s">
        <v>287</v>
      </c>
      <c r="E161" s="1167">
        <f>120000/6</f>
        <v>20000</v>
      </c>
      <c r="F161" s="1163" t="s">
        <v>21</v>
      </c>
      <c r="G161" s="1147"/>
    </row>
    <row r="162" spans="2:7" s="1148" customFormat="1" ht="13.2">
      <c r="B162" s="1159"/>
      <c r="C162" s="1160">
        <v>6</v>
      </c>
      <c r="D162" s="1161" t="s">
        <v>288</v>
      </c>
      <c r="E162" s="1167">
        <f>240000/6</f>
        <v>40000</v>
      </c>
      <c r="F162" s="1163" t="s">
        <v>21</v>
      </c>
      <c r="G162" s="1147"/>
    </row>
    <row r="163" spans="2:7" s="1148" customFormat="1" ht="13.2">
      <c r="B163" s="1159"/>
      <c r="C163" s="1160">
        <v>7</v>
      </c>
      <c r="D163" s="1161" t="str">
        <f>'ANALISA UTAMA'!C1765</f>
        <v>Buis Beton Dia 50cm</v>
      </c>
      <c r="E163" s="1167">
        <v>250000</v>
      </c>
      <c r="F163" s="1163" t="s">
        <v>23</v>
      </c>
      <c r="G163" s="1147"/>
    </row>
    <row r="164" spans="2:7" s="1148" customFormat="1" ht="13.2">
      <c r="B164" s="1159"/>
      <c r="C164" s="1160">
        <v>8</v>
      </c>
      <c r="D164" s="1161" t="s">
        <v>947</v>
      </c>
      <c r="E164" s="1167">
        <v>150000</v>
      </c>
      <c r="F164" s="1163" t="s">
        <v>23</v>
      </c>
      <c r="G164" s="1147"/>
    </row>
    <row r="165" spans="2:7" s="1148" customFormat="1" ht="13.2">
      <c r="B165" s="1159"/>
      <c r="C165" s="1160"/>
      <c r="D165" s="1161"/>
      <c r="E165" s="1167"/>
      <c r="F165" s="1163"/>
      <c r="G165" s="1147"/>
    </row>
    <row r="166" spans="2:7" s="1148" customFormat="1" ht="13.2">
      <c r="B166" s="1159"/>
      <c r="C166" s="1160"/>
      <c r="D166" s="1161"/>
      <c r="E166" s="1167"/>
      <c r="F166" s="1163"/>
      <c r="G166" s="1147"/>
    </row>
    <row r="167" spans="2:7" s="1148" customFormat="1" ht="13.2">
      <c r="B167" s="1154" t="s">
        <v>330</v>
      </c>
      <c r="C167" s="1166"/>
      <c r="D167" s="1156" t="s">
        <v>332</v>
      </c>
      <c r="E167" s="1157"/>
      <c r="F167" s="1163"/>
      <c r="G167" s="1147"/>
    </row>
    <row r="168" spans="2:7" s="1148" customFormat="1" ht="13.2">
      <c r="B168" s="1159"/>
      <c r="C168" s="1160">
        <v>1</v>
      </c>
      <c r="D168" s="1161" t="s">
        <v>236</v>
      </c>
      <c r="E168" s="1167">
        <v>55000</v>
      </c>
      <c r="F168" s="1163" t="s">
        <v>237</v>
      </c>
      <c r="G168" s="1147"/>
    </row>
    <row r="169" spans="2:7" s="1148" customFormat="1" ht="13.2">
      <c r="B169" s="1159"/>
      <c r="C169" s="1160">
        <v>2</v>
      </c>
      <c r="D169" s="1161" t="s">
        <v>238</v>
      </c>
      <c r="E169" s="1167">
        <v>50000</v>
      </c>
      <c r="F169" s="1163" t="s">
        <v>62</v>
      </c>
      <c r="G169" s="1147"/>
    </row>
    <row r="170" spans="2:7" s="1148" customFormat="1" ht="13.2">
      <c r="B170" s="1159"/>
      <c r="C170" s="1160">
        <v>3</v>
      </c>
      <c r="D170" s="1161" t="s">
        <v>239</v>
      </c>
      <c r="E170" s="1167">
        <v>120000</v>
      </c>
      <c r="F170" s="1163" t="s">
        <v>240</v>
      </c>
      <c r="G170" s="1147"/>
    </row>
    <row r="171" spans="2:7" s="1148" customFormat="1" ht="13.2">
      <c r="B171" s="1159"/>
      <c r="C171" s="1160">
        <v>4</v>
      </c>
      <c r="D171" s="1161" t="s">
        <v>241</v>
      </c>
      <c r="E171" s="1167">
        <v>12000</v>
      </c>
      <c r="F171" s="1163" t="s">
        <v>240</v>
      </c>
      <c r="G171" s="1147"/>
    </row>
    <row r="172" spans="2:7" s="1053" customFormat="1" ht="14.4" thickBot="1">
      <c r="B172" s="1054"/>
      <c r="C172" s="1055"/>
      <c r="D172" s="1056"/>
      <c r="E172" s="1057"/>
      <c r="F172" s="1058"/>
      <c r="G172" s="1052"/>
    </row>
    <row r="173" spans="2:7" s="1053" customFormat="1" ht="13.8">
      <c r="G173" s="1052"/>
    </row>
  </sheetData>
  <mergeCells count="1">
    <mergeCell ref="B3:F4"/>
  </mergeCells>
  <printOptions horizontalCentered="1"/>
  <pageMargins left="0.59055118110236227" right="0.39370078740157483" top="0.59055118110236227" bottom="0.39370078740157483" header="0.19685039370078741" footer="0.19685039370078741"/>
  <pageSetup paperSize="9" orientation="portrait" r:id="rId1"/>
  <headerFooter>
    <oddFooter>&amp;C&amp;P /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  <outlinePr summaryBelow="0" summaryRight="0"/>
  </sheetPr>
  <dimension ref="A3:J117"/>
  <sheetViews>
    <sheetView view="pageBreakPreview" topLeftCell="A4" zoomScale="80" zoomScaleNormal="80" zoomScaleSheetLayoutView="80" zoomScalePageLayoutView="50" workbookViewId="0">
      <selection activeCell="G63" sqref="G63"/>
    </sheetView>
  </sheetViews>
  <sheetFormatPr defaultColWidth="9.21875" defaultRowHeight="15.6" outlineLevelRow="1" outlineLevelCol="1"/>
  <cols>
    <col min="1" max="1" width="13" style="167" customWidth="1"/>
    <col min="2" max="2" width="8.44140625" style="270" customWidth="1" outlineLevel="1"/>
    <col min="3" max="3" width="8.77734375" style="185" customWidth="1" outlineLevel="1"/>
    <col min="4" max="4" width="37.44140625" style="185" customWidth="1" outlineLevel="1"/>
    <col min="5" max="5" width="5.77734375" style="270" customWidth="1" outlineLevel="1"/>
    <col min="6" max="6" width="10.5546875" style="270" customWidth="1" outlineLevel="1"/>
    <col min="7" max="7" width="14.77734375" style="270" customWidth="1" outlineLevel="1"/>
    <col min="8" max="8" width="21" style="189" customWidth="1" outlineLevel="1"/>
    <col min="9" max="9" width="25" style="185" customWidth="1" outlineLevel="1"/>
    <col min="10" max="10" width="17.21875" style="172" customWidth="1"/>
    <col min="11" max="11" width="13.77734375" style="154" bestFit="1" customWidth="1"/>
    <col min="12" max="16384" width="9.21875" style="154"/>
  </cols>
  <sheetData>
    <row r="3" spans="1:10" ht="23.4">
      <c r="A3" s="152"/>
      <c r="B3" s="1268" t="s">
        <v>655</v>
      </c>
      <c r="C3" s="1268"/>
      <c r="D3" s="1268"/>
      <c r="E3" s="1268"/>
      <c r="F3" s="1268"/>
      <c r="G3" s="1268"/>
      <c r="H3" s="1268"/>
      <c r="I3" s="1268"/>
      <c r="J3" s="153">
        <v>0.1</v>
      </c>
    </row>
    <row r="4" spans="1:10" ht="23.4">
      <c r="A4" s="152"/>
      <c r="B4" s="346"/>
      <c r="C4" s="346"/>
      <c r="D4" s="346"/>
      <c r="E4" s="346"/>
      <c r="F4" s="346"/>
      <c r="G4" s="346"/>
      <c r="H4" s="346"/>
      <c r="I4" s="346"/>
      <c r="J4" s="153"/>
    </row>
    <row r="5" spans="1:10" ht="20.399999999999999">
      <c r="A5" s="155"/>
      <c r="B5" s="687" t="s">
        <v>350</v>
      </c>
      <c r="C5" s="156"/>
      <c r="D5" s="156"/>
      <c r="E5" s="156"/>
      <c r="F5" s="156"/>
      <c r="G5" s="156"/>
      <c r="H5" s="157"/>
      <c r="I5" s="156"/>
      <c r="J5" s="158"/>
    </row>
    <row r="6" spans="1:10">
      <c r="A6" s="159" t="str">
        <f>B6</f>
        <v>Hit. BKR. 01</v>
      </c>
      <c r="B6" s="159" t="s">
        <v>656</v>
      </c>
      <c r="C6" s="160"/>
      <c r="D6" s="159" t="s">
        <v>347</v>
      </c>
      <c r="E6" s="159"/>
      <c r="F6" s="159"/>
      <c r="G6" s="159"/>
      <c r="H6" s="161"/>
      <c r="I6" s="160"/>
      <c r="J6" s="162">
        <f>I19</f>
        <v>10428</v>
      </c>
    </row>
    <row r="7" spans="1:10" ht="31.2" outlineLevel="1">
      <c r="A7" s="163"/>
      <c r="B7" s="164" t="s">
        <v>75</v>
      </c>
      <c r="C7" s="1254" t="s">
        <v>140</v>
      </c>
      <c r="D7" s="1255"/>
      <c r="E7" s="164" t="s">
        <v>141</v>
      </c>
      <c r="F7" s="164" t="s">
        <v>142</v>
      </c>
      <c r="G7" s="164" t="s">
        <v>143</v>
      </c>
      <c r="H7" s="165" t="s">
        <v>144</v>
      </c>
      <c r="I7" s="165" t="s">
        <v>145</v>
      </c>
      <c r="J7" s="166"/>
    </row>
    <row r="8" spans="1:10" outlineLevel="1">
      <c r="B8" s="165" t="s">
        <v>146</v>
      </c>
      <c r="C8" s="168" t="s">
        <v>147</v>
      </c>
      <c r="D8" s="169"/>
      <c r="E8" s="170"/>
      <c r="F8" s="170"/>
      <c r="G8" s="170"/>
      <c r="H8" s="171"/>
      <c r="I8" s="171"/>
    </row>
    <row r="9" spans="1:10" outlineLevel="1">
      <c r="B9" s="165"/>
      <c r="C9" s="168" t="s">
        <v>77</v>
      </c>
      <c r="D9" s="169"/>
      <c r="E9" s="165" t="s">
        <v>148</v>
      </c>
      <c r="F9" s="165" t="s">
        <v>76</v>
      </c>
      <c r="G9" s="173">
        <v>7.4999999999999997E-2</v>
      </c>
      <c r="H9" s="174">
        <f>VLOOKUP(C9,'UPAH-BAHAN'!D:F,2,0)</f>
        <v>120000</v>
      </c>
      <c r="I9" s="175">
        <f>G9*H9</f>
        <v>9000</v>
      </c>
    </row>
    <row r="10" spans="1:10" outlineLevel="1">
      <c r="B10" s="165"/>
      <c r="C10" s="168" t="s">
        <v>106</v>
      </c>
      <c r="D10" s="169"/>
      <c r="E10" s="165" t="s">
        <v>149</v>
      </c>
      <c r="F10" s="165" t="s">
        <v>76</v>
      </c>
      <c r="G10" s="173">
        <v>3.0000000000000001E-3</v>
      </c>
      <c r="H10" s="174">
        <f>VLOOKUP(C10,'UPAH-BAHAN'!D:F,2,0)</f>
        <v>160000</v>
      </c>
      <c r="I10" s="175">
        <f>G10*H10</f>
        <v>480</v>
      </c>
    </row>
    <row r="11" spans="1:10" outlineLevel="1">
      <c r="B11" s="165"/>
      <c r="C11" s="176"/>
      <c r="D11" s="169"/>
      <c r="E11" s="170"/>
      <c r="F11" s="170"/>
      <c r="G11" s="168" t="s">
        <v>173</v>
      </c>
      <c r="H11" s="177"/>
      <c r="I11" s="175">
        <f>SUM(I9:I10)</f>
        <v>9480</v>
      </c>
    </row>
    <row r="12" spans="1:10" outlineLevel="1">
      <c r="B12" s="165" t="s">
        <v>153</v>
      </c>
      <c r="C12" s="168" t="s">
        <v>154</v>
      </c>
      <c r="D12" s="169"/>
      <c r="E12" s="170"/>
      <c r="F12" s="170"/>
      <c r="G12" s="165"/>
      <c r="H12" s="175"/>
      <c r="I12" s="175"/>
    </row>
    <row r="13" spans="1:10" outlineLevel="1">
      <c r="B13" s="165"/>
      <c r="C13" s="178"/>
      <c r="D13" s="169"/>
      <c r="E13" s="170"/>
      <c r="F13" s="165"/>
      <c r="G13" s="165"/>
      <c r="H13" s="174"/>
      <c r="I13" s="175"/>
    </row>
    <row r="14" spans="1:10" outlineLevel="1">
      <c r="B14" s="165"/>
      <c r="C14" s="168"/>
      <c r="D14" s="169"/>
      <c r="E14" s="170"/>
      <c r="F14" s="170"/>
      <c r="G14" s="168" t="s">
        <v>172</v>
      </c>
      <c r="H14" s="175"/>
      <c r="I14" s="175">
        <f>SUM(I13:I13)</f>
        <v>0</v>
      </c>
    </row>
    <row r="15" spans="1:10" outlineLevel="1">
      <c r="B15" s="165" t="s">
        <v>157</v>
      </c>
      <c r="C15" s="168" t="s">
        <v>158</v>
      </c>
      <c r="D15" s="169"/>
      <c r="E15" s="170"/>
      <c r="F15" s="170"/>
      <c r="G15" s="170"/>
      <c r="H15" s="175"/>
      <c r="I15" s="175"/>
    </row>
    <row r="16" spans="1:10" outlineLevel="1">
      <c r="B16" s="165"/>
      <c r="C16" s="168"/>
      <c r="D16" s="169"/>
      <c r="E16" s="170"/>
      <c r="F16" s="170"/>
      <c r="G16" s="168" t="s">
        <v>159</v>
      </c>
      <c r="H16" s="175"/>
      <c r="I16" s="175">
        <v>0</v>
      </c>
    </row>
    <row r="17" spans="1:10" outlineLevel="1">
      <c r="B17" s="165" t="s">
        <v>160</v>
      </c>
      <c r="C17" s="168" t="s">
        <v>161</v>
      </c>
      <c r="D17" s="169"/>
      <c r="E17" s="171"/>
      <c r="F17" s="171"/>
      <c r="G17" s="171"/>
      <c r="H17" s="175"/>
      <c r="I17" s="175">
        <f>I16+I14+I11</f>
        <v>9480</v>
      </c>
    </row>
    <row r="18" spans="1:10" outlineLevel="1">
      <c r="B18" s="165" t="s">
        <v>162</v>
      </c>
      <c r="C18" s="168" t="s">
        <v>82</v>
      </c>
      <c r="D18" s="169"/>
      <c r="E18" s="179"/>
      <c r="F18" s="179"/>
      <c r="G18" s="180">
        <f>$J$3</f>
        <v>0.1</v>
      </c>
      <c r="H18" s="171"/>
      <c r="I18" s="175">
        <f>I17*G18</f>
        <v>948</v>
      </c>
    </row>
    <row r="19" spans="1:10" outlineLevel="1">
      <c r="B19" s="165" t="s">
        <v>163</v>
      </c>
      <c r="C19" s="168" t="s">
        <v>164</v>
      </c>
      <c r="D19" s="169"/>
      <c r="E19" s="742"/>
      <c r="F19" s="181"/>
      <c r="G19" s="181"/>
      <c r="H19" s="182"/>
      <c r="I19" s="183">
        <f>I17+I18</f>
        <v>10428</v>
      </c>
    </row>
    <row r="20" spans="1:10">
      <c r="B20" s="184"/>
      <c r="D20" s="186"/>
      <c r="E20" s="186"/>
      <c r="F20" s="186"/>
      <c r="G20" s="186"/>
      <c r="H20" s="186"/>
      <c r="I20" s="187"/>
    </row>
    <row r="21" spans="1:10" ht="20.399999999999999">
      <c r="A21" s="155"/>
      <c r="B21" s="687" t="s">
        <v>453</v>
      </c>
      <c r="C21" s="156"/>
      <c r="D21" s="156"/>
      <c r="E21" s="156"/>
      <c r="F21" s="156"/>
      <c r="G21" s="156"/>
      <c r="H21" s="157"/>
      <c r="I21" s="156"/>
      <c r="J21" s="158"/>
    </row>
    <row r="22" spans="1:10" collapsed="1">
      <c r="A22" s="159" t="str">
        <f>B22</f>
        <v>Hit. DRN.01</v>
      </c>
      <c r="B22" s="159" t="s">
        <v>650</v>
      </c>
      <c r="C22" s="160"/>
      <c r="D22" s="159" t="s">
        <v>654</v>
      </c>
      <c r="E22" s="159"/>
      <c r="F22" s="159"/>
      <c r="G22" s="159"/>
      <c r="H22" s="161"/>
      <c r="I22" s="160"/>
      <c r="J22" s="162">
        <f>I39</f>
        <v>105407.5</v>
      </c>
    </row>
    <row r="23" spans="1:10" ht="31.2" hidden="1" outlineLevel="1">
      <c r="A23" s="163"/>
      <c r="B23" s="164" t="s">
        <v>75</v>
      </c>
      <c r="C23" s="1254" t="s">
        <v>140</v>
      </c>
      <c r="D23" s="1255"/>
      <c r="E23" s="164" t="s">
        <v>141</v>
      </c>
      <c r="F23" s="164" t="s">
        <v>142</v>
      </c>
      <c r="G23" s="164" t="s">
        <v>143</v>
      </c>
      <c r="H23" s="165" t="s">
        <v>144</v>
      </c>
      <c r="I23" s="165" t="s">
        <v>145</v>
      </c>
      <c r="J23" s="166"/>
    </row>
    <row r="24" spans="1:10" hidden="1" outlineLevel="1">
      <c r="B24" s="165" t="s">
        <v>146</v>
      </c>
      <c r="C24" s="168" t="s">
        <v>147</v>
      </c>
      <c r="D24" s="169"/>
      <c r="E24" s="170"/>
      <c r="F24" s="170"/>
      <c r="G24" s="170"/>
      <c r="H24" s="171"/>
      <c r="I24" s="171"/>
    </row>
    <row r="25" spans="1:10" hidden="1" outlineLevel="1">
      <c r="B25" s="165"/>
      <c r="C25" s="168" t="s">
        <v>77</v>
      </c>
      <c r="D25" s="169"/>
      <c r="E25" s="165" t="s">
        <v>148</v>
      </c>
      <c r="F25" s="165" t="s">
        <v>76</v>
      </c>
      <c r="G25" s="173">
        <v>0.1</v>
      </c>
      <c r="H25" s="174">
        <f>VLOOKUP(C25,'UPAH-BAHAN'!D:F,2,0)</f>
        <v>120000</v>
      </c>
      <c r="I25" s="175">
        <f>G25*H25</f>
        <v>12000</v>
      </c>
    </row>
    <row r="26" spans="1:10" hidden="1" outlineLevel="1">
      <c r="B26" s="165"/>
      <c r="C26" s="168" t="s">
        <v>106</v>
      </c>
      <c r="D26" s="169"/>
      <c r="E26" s="165" t="s">
        <v>149</v>
      </c>
      <c r="F26" s="165" t="s">
        <v>76</v>
      </c>
      <c r="G26" s="173">
        <v>0.1</v>
      </c>
      <c r="H26" s="174">
        <f>VLOOKUP(C26,'UPAH-BAHAN'!D:F,2,0)</f>
        <v>160000</v>
      </c>
      <c r="I26" s="175">
        <f>G26*H26</f>
        <v>16000</v>
      </c>
    </row>
    <row r="27" spans="1:10" hidden="1" outlineLevel="1">
      <c r="B27" s="165"/>
      <c r="C27" s="168" t="s">
        <v>79</v>
      </c>
      <c r="D27" s="169"/>
      <c r="E27" s="165" t="s">
        <v>150</v>
      </c>
      <c r="F27" s="165" t="s">
        <v>76</v>
      </c>
      <c r="G27" s="165">
        <v>0.01</v>
      </c>
      <c r="H27" s="174">
        <f>VLOOKUP(C27,'UPAH-BAHAN'!D:F,2,0)</f>
        <v>170000</v>
      </c>
      <c r="I27" s="175">
        <f>G27*H27</f>
        <v>1700</v>
      </c>
    </row>
    <row r="28" spans="1:10" hidden="1" outlineLevel="1">
      <c r="B28" s="165"/>
      <c r="C28" s="168" t="s">
        <v>80</v>
      </c>
      <c r="D28" s="169"/>
      <c r="E28" s="165" t="s">
        <v>151</v>
      </c>
      <c r="F28" s="165" t="s">
        <v>76</v>
      </c>
      <c r="G28" s="165">
        <v>5.0000000000000001E-3</v>
      </c>
      <c r="H28" s="174">
        <f>VLOOKUP(C28,'UPAH-BAHAN'!D:F,2,0)</f>
        <v>225000</v>
      </c>
      <c r="I28" s="175">
        <f>G28*H28</f>
        <v>1125</v>
      </c>
    </row>
    <row r="29" spans="1:10" hidden="1" outlineLevel="1">
      <c r="B29" s="165"/>
      <c r="C29" s="176"/>
      <c r="D29" s="169"/>
      <c r="E29" s="170"/>
      <c r="F29" s="170"/>
      <c r="G29" s="168" t="s">
        <v>173</v>
      </c>
      <c r="H29" s="177"/>
      <c r="I29" s="175">
        <f>SUM(I25:I28)</f>
        <v>30825</v>
      </c>
    </row>
    <row r="30" spans="1:10" hidden="1" outlineLevel="1">
      <c r="B30" s="165" t="s">
        <v>153</v>
      </c>
      <c r="C30" s="168" t="s">
        <v>154</v>
      </c>
      <c r="D30" s="169"/>
      <c r="E30" s="170"/>
      <c r="F30" s="170"/>
      <c r="G30" s="165"/>
      <c r="H30" s="175"/>
      <c r="I30" s="175"/>
    </row>
    <row r="31" spans="1:10" hidden="1" outlineLevel="1">
      <c r="B31" s="165"/>
      <c r="C31" s="178" t="s">
        <v>252</v>
      </c>
      <c r="D31" s="169"/>
      <c r="E31" s="170"/>
      <c r="F31" s="165" t="s">
        <v>81</v>
      </c>
      <c r="G31" s="165">
        <v>1.2E-2</v>
      </c>
      <c r="H31" s="174">
        <f>VLOOKUP(C31,'UPAH-BAHAN'!D:F,2,0)</f>
        <v>3400000</v>
      </c>
      <c r="I31" s="175">
        <f>G31*H31</f>
        <v>40800</v>
      </c>
    </row>
    <row r="32" spans="1:10" hidden="1" outlineLevel="1">
      <c r="B32" s="165"/>
      <c r="C32" s="168" t="s">
        <v>209</v>
      </c>
      <c r="D32" s="169"/>
      <c r="E32" s="170"/>
      <c r="F32" s="165" t="s">
        <v>69</v>
      </c>
      <c r="G32" s="173">
        <v>0.02</v>
      </c>
      <c r="H32" s="174">
        <f>VLOOKUP(C32,'UPAH-BAHAN'!D:F,2,0)</f>
        <v>20000</v>
      </c>
      <c r="I32" s="175">
        <f>G32*H32</f>
        <v>400</v>
      </c>
    </row>
    <row r="33" spans="1:10" hidden="1" outlineLevel="1">
      <c r="B33" s="165"/>
      <c r="C33" s="178" t="s">
        <v>155</v>
      </c>
      <c r="D33" s="169"/>
      <c r="E33" s="170"/>
      <c r="F33" s="165" t="s">
        <v>81</v>
      </c>
      <c r="G33" s="173">
        <v>7.0000000000000001E-3</v>
      </c>
      <c r="H33" s="174">
        <f>VLOOKUP(C33,'UPAH-BAHAN'!D:F,2,0)</f>
        <v>3400000</v>
      </c>
      <c r="I33" s="175">
        <f>G33*H33</f>
        <v>23800</v>
      </c>
    </row>
    <row r="34" spans="1:10" hidden="1" outlineLevel="1">
      <c r="B34" s="165"/>
      <c r="C34" s="168"/>
      <c r="D34" s="169"/>
      <c r="E34" s="170"/>
      <c r="F34" s="170"/>
      <c r="G34" s="168" t="s">
        <v>172</v>
      </c>
      <c r="H34" s="175"/>
      <c r="I34" s="175">
        <f>SUM(I31:I33)</f>
        <v>65000</v>
      </c>
    </row>
    <row r="35" spans="1:10" hidden="1" outlineLevel="1">
      <c r="B35" s="165" t="s">
        <v>157</v>
      </c>
      <c r="C35" s="168" t="s">
        <v>158</v>
      </c>
      <c r="D35" s="169"/>
      <c r="E35" s="170"/>
      <c r="F35" s="170"/>
      <c r="G35" s="170"/>
      <c r="H35" s="175"/>
      <c r="I35" s="175"/>
    </row>
    <row r="36" spans="1:10" hidden="1" outlineLevel="1">
      <c r="B36" s="165"/>
      <c r="C36" s="168"/>
      <c r="D36" s="169"/>
      <c r="E36" s="170"/>
      <c r="F36" s="170"/>
      <c r="G36" s="168" t="s">
        <v>159</v>
      </c>
      <c r="H36" s="175"/>
      <c r="I36" s="175">
        <v>0</v>
      </c>
    </row>
    <row r="37" spans="1:10" hidden="1" outlineLevel="1">
      <c r="B37" s="165" t="s">
        <v>160</v>
      </c>
      <c r="C37" s="168" t="s">
        <v>161</v>
      </c>
      <c r="D37" s="169"/>
      <c r="E37" s="171"/>
      <c r="F37" s="171"/>
      <c r="G37" s="171"/>
      <c r="H37" s="175"/>
      <c r="I37" s="175">
        <f>I36+I34+I29</f>
        <v>95825</v>
      </c>
    </row>
    <row r="38" spans="1:10" hidden="1" outlineLevel="1">
      <c r="B38" s="165" t="s">
        <v>162</v>
      </c>
      <c r="C38" s="168" t="s">
        <v>82</v>
      </c>
      <c r="D38" s="169"/>
      <c r="E38" s="179"/>
      <c r="F38" s="179"/>
      <c r="G38" s="180">
        <f>$J$3</f>
        <v>0.1</v>
      </c>
      <c r="H38" s="171"/>
      <c r="I38" s="175">
        <f>I37*G38</f>
        <v>9582.5</v>
      </c>
    </row>
    <row r="39" spans="1:10" hidden="1" outlineLevel="1">
      <c r="B39" s="165" t="s">
        <v>163</v>
      </c>
      <c r="C39" s="168" t="s">
        <v>164</v>
      </c>
      <c r="D39" s="169"/>
      <c r="E39" s="742"/>
      <c r="F39" s="181"/>
      <c r="G39" s="181"/>
      <c r="H39" s="182"/>
      <c r="I39" s="183">
        <f>I37+I38</f>
        <v>105407.5</v>
      </c>
    </row>
    <row r="40" spans="1:10" hidden="1" outlineLevel="1">
      <c r="B40" s="184"/>
      <c r="D40" s="186"/>
      <c r="E40" s="186"/>
      <c r="F40" s="186"/>
      <c r="G40" s="186"/>
      <c r="H40" s="187"/>
      <c r="I40" s="187"/>
    </row>
    <row r="41" spans="1:10" collapsed="1">
      <c r="A41" s="159" t="str">
        <f>B41</f>
        <v>Hit. DRN.02</v>
      </c>
      <c r="B41" s="159" t="s">
        <v>651</v>
      </c>
      <c r="C41" s="160"/>
      <c r="D41" s="159" t="s">
        <v>679</v>
      </c>
      <c r="E41" s="159"/>
      <c r="F41" s="159"/>
      <c r="G41" s="159"/>
      <c r="H41" s="161"/>
      <c r="I41" s="160"/>
      <c r="J41" s="162">
        <f>I58</f>
        <v>105407.5</v>
      </c>
    </row>
    <row r="42" spans="1:10" ht="31.2" hidden="1" outlineLevel="1">
      <c r="A42" s="163"/>
      <c r="B42" s="164" t="s">
        <v>75</v>
      </c>
      <c r="C42" s="1254" t="s">
        <v>140</v>
      </c>
      <c r="D42" s="1255"/>
      <c r="E42" s="164" t="s">
        <v>141</v>
      </c>
      <c r="F42" s="164" t="s">
        <v>142</v>
      </c>
      <c r="G42" s="164" t="s">
        <v>143</v>
      </c>
      <c r="H42" s="165" t="s">
        <v>144</v>
      </c>
      <c r="I42" s="165" t="s">
        <v>145</v>
      </c>
      <c r="J42" s="166"/>
    </row>
    <row r="43" spans="1:10" hidden="1" outlineLevel="1">
      <c r="B43" s="165" t="s">
        <v>146</v>
      </c>
      <c r="C43" s="168" t="s">
        <v>147</v>
      </c>
      <c r="D43" s="169"/>
      <c r="E43" s="170"/>
      <c r="F43" s="170"/>
      <c r="G43" s="170"/>
      <c r="H43" s="171"/>
      <c r="I43" s="171"/>
    </row>
    <row r="44" spans="1:10" hidden="1" outlineLevel="1">
      <c r="B44" s="165"/>
      <c r="C44" s="168" t="s">
        <v>77</v>
      </c>
      <c r="D44" s="169"/>
      <c r="E44" s="165" t="s">
        <v>148</v>
      </c>
      <c r="F44" s="165" t="s">
        <v>76</v>
      </c>
      <c r="G44" s="173">
        <v>0.1</v>
      </c>
      <c r="H44" s="174">
        <f>VLOOKUP(C44,'UPAH-BAHAN'!D:F,2,0)</f>
        <v>120000</v>
      </c>
      <c r="I44" s="175">
        <f>G44*H44</f>
        <v>12000</v>
      </c>
    </row>
    <row r="45" spans="1:10" hidden="1" outlineLevel="1">
      <c r="B45" s="165"/>
      <c r="C45" s="168" t="s">
        <v>106</v>
      </c>
      <c r="D45" s="169"/>
      <c r="E45" s="165" t="s">
        <v>149</v>
      </c>
      <c r="F45" s="165" t="s">
        <v>76</v>
      </c>
      <c r="G45" s="173">
        <v>0.1</v>
      </c>
      <c r="H45" s="174">
        <f>VLOOKUP(C45,'UPAH-BAHAN'!D:F,2,0)</f>
        <v>160000</v>
      </c>
      <c r="I45" s="175">
        <f>G45*H45</f>
        <v>16000</v>
      </c>
    </row>
    <row r="46" spans="1:10" hidden="1" outlineLevel="1">
      <c r="B46" s="165"/>
      <c r="C46" s="168" t="s">
        <v>79</v>
      </c>
      <c r="D46" s="169"/>
      <c r="E46" s="165" t="s">
        <v>150</v>
      </c>
      <c r="F46" s="165" t="s">
        <v>76</v>
      </c>
      <c r="G46" s="165">
        <v>0.01</v>
      </c>
      <c r="H46" s="174">
        <f>VLOOKUP(C46,'UPAH-BAHAN'!D:F,2,0)</f>
        <v>170000</v>
      </c>
      <c r="I46" s="175">
        <f>G46*H46</f>
        <v>1700</v>
      </c>
    </row>
    <row r="47" spans="1:10" hidden="1" outlineLevel="1">
      <c r="B47" s="165"/>
      <c r="C47" s="168" t="s">
        <v>80</v>
      </c>
      <c r="D47" s="169"/>
      <c r="E47" s="165" t="s">
        <v>151</v>
      </c>
      <c r="F47" s="165" t="s">
        <v>76</v>
      </c>
      <c r="G47" s="165">
        <v>5.0000000000000001E-3</v>
      </c>
      <c r="H47" s="174">
        <f>VLOOKUP(C47,'UPAH-BAHAN'!D:F,2,0)</f>
        <v>225000</v>
      </c>
      <c r="I47" s="175">
        <f>G47*H47</f>
        <v>1125</v>
      </c>
    </row>
    <row r="48" spans="1:10" hidden="1" outlineLevel="1">
      <c r="B48" s="165"/>
      <c r="C48" s="176"/>
      <c r="D48" s="169"/>
      <c r="E48" s="170"/>
      <c r="F48" s="170"/>
      <c r="G48" s="168" t="s">
        <v>173</v>
      </c>
      <c r="H48" s="177"/>
      <c r="I48" s="175">
        <f>SUM(I44:I47)</f>
        <v>30825</v>
      </c>
    </row>
    <row r="49" spans="1:10" hidden="1" outlineLevel="1">
      <c r="B49" s="165" t="s">
        <v>153</v>
      </c>
      <c r="C49" s="168" t="s">
        <v>154</v>
      </c>
      <c r="D49" s="169"/>
      <c r="E49" s="170"/>
      <c r="F49" s="170"/>
      <c r="G49" s="165"/>
      <c r="H49" s="175"/>
      <c r="I49" s="175"/>
    </row>
    <row r="50" spans="1:10" hidden="1" outlineLevel="1">
      <c r="B50" s="165"/>
      <c r="C50" s="178" t="s">
        <v>252</v>
      </c>
      <c r="D50" s="169"/>
      <c r="E50" s="170"/>
      <c r="F50" s="165" t="s">
        <v>81</v>
      </c>
      <c r="G50" s="165">
        <v>1.2E-2</v>
      </c>
      <c r="H50" s="174">
        <f>VLOOKUP(C50,'UPAH-BAHAN'!D:F,2,0)</f>
        <v>3400000</v>
      </c>
      <c r="I50" s="175">
        <f>G50*H50</f>
        <v>40800</v>
      </c>
    </row>
    <row r="51" spans="1:10" hidden="1" outlineLevel="1">
      <c r="B51" s="165"/>
      <c r="C51" s="168" t="s">
        <v>209</v>
      </c>
      <c r="D51" s="169"/>
      <c r="E51" s="170"/>
      <c r="F51" s="165" t="s">
        <v>69</v>
      </c>
      <c r="G51" s="173">
        <v>0.02</v>
      </c>
      <c r="H51" s="174">
        <f>VLOOKUP(C51,'UPAH-BAHAN'!D:F,2,0)</f>
        <v>20000</v>
      </c>
      <c r="I51" s="175">
        <f>G51*H51</f>
        <v>400</v>
      </c>
    </row>
    <row r="52" spans="1:10" hidden="1" outlineLevel="1">
      <c r="B52" s="165"/>
      <c r="C52" s="178" t="s">
        <v>155</v>
      </c>
      <c r="D52" s="169"/>
      <c r="E52" s="170"/>
      <c r="F52" s="165" t="s">
        <v>81</v>
      </c>
      <c r="G52" s="173">
        <v>7.0000000000000001E-3</v>
      </c>
      <c r="H52" s="174">
        <f>VLOOKUP(C52,'UPAH-BAHAN'!D:F,2,0)</f>
        <v>3400000</v>
      </c>
      <c r="I52" s="175">
        <f>G52*H52</f>
        <v>23800</v>
      </c>
    </row>
    <row r="53" spans="1:10" hidden="1" outlineLevel="1">
      <c r="B53" s="165"/>
      <c r="C53" s="168"/>
      <c r="D53" s="169"/>
      <c r="E53" s="170"/>
      <c r="F53" s="170"/>
      <c r="G53" s="168" t="s">
        <v>172</v>
      </c>
      <c r="H53" s="175"/>
      <c r="I53" s="175">
        <f>SUM(I50:I52)</f>
        <v>65000</v>
      </c>
    </row>
    <row r="54" spans="1:10" hidden="1" outlineLevel="1">
      <c r="B54" s="165" t="s">
        <v>157</v>
      </c>
      <c r="C54" s="168" t="s">
        <v>158</v>
      </c>
      <c r="D54" s="169"/>
      <c r="E54" s="170"/>
      <c r="F54" s="170"/>
      <c r="G54" s="170"/>
      <c r="H54" s="175"/>
      <c r="I54" s="175"/>
    </row>
    <row r="55" spans="1:10" hidden="1" outlineLevel="1">
      <c r="B55" s="165"/>
      <c r="C55" s="168"/>
      <c r="D55" s="169"/>
      <c r="E55" s="170"/>
      <c r="F55" s="170"/>
      <c r="G55" s="168" t="s">
        <v>159</v>
      </c>
      <c r="H55" s="175"/>
      <c r="I55" s="175">
        <v>0</v>
      </c>
    </row>
    <row r="56" spans="1:10" hidden="1" outlineLevel="1">
      <c r="B56" s="165" t="s">
        <v>160</v>
      </c>
      <c r="C56" s="168" t="s">
        <v>161</v>
      </c>
      <c r="D56" s="169"/>
      <c r="E56" s="171"/>
      <c r="F56" s="171"/>
      <c r="G56" s="171"/>
      <c r="H56" s="175"/>
      <c r="I56" s="175">
        <f>I55+I53+I48</f>
        <v>95825</v>
      </c>
    </row>
    <row r="57" spans="1:10" hidden="1" outlineLevel="1">
      <c r="B57" s="165" t="s">
        <v>162</v>
      </c>
      <c r="C57" s="168" t="s">
        <v>82</v>
      </c>
      <c r="D57" s="169"/>
      <c r="E57" s="179"/>
      <c r="F57" s="179"/>
      <c r="G57" s="180">
        <f>$J$3</f>
        <v>0.1</v>
      </c>
      <c r="H57" s="171"/>
      <c r="I57" s="175">
        <f>I56*G57</f>
        <v>9582.5</v>
      </c>
    </row>
    <row r="58" spans="1:10" hidden="1" outlineLevel="1">
      <c r="B58" s="165" t="s">
        <v>163</v>
      </c>
      <c r="C58" s="168" t="s">
        <v>164</v>
      </c>
      <c r="D58" s="169"/>
      <c r="E58" s="742"/>
      <c r="F58" s="181"/>
      <c r="G58" s="181"/>
      <c r="H58" s="182"/>
      <c r="I58" s="183">
        <f>I56+I57</f>
        <v>105407.5</v>
      </c>
    </row>
    <row r="59" spans="1:10" hidden="1" outlineLevel="1"/>
    <row r="60" spans="1:10" collapsed="1">
      <c r="A60" s="159" t="str">
        <f>B60</f>
        <v>Hit. DRN.03</v>
      </c>
      <c r="B60" s="159" t="s">
        <v>652</v>
      </c>
      <c r="C60" s="160"/>
      <c r="D60" s="159" t="s">
        <v>680</v>
      </c>
      <c r="E60" s="159"/>
      <c r="F60" s="159"/>
      <c r="G60" s="159"/>
      <c r="H60" s="161"/>
      <c r="I60" s="160"/>
      <c r="J60" s="162">
        <f>I77</f>
        <v>105407.5</v>
      </c>
    </row>
    <row r="61" spans="1:10" ht="31.2" hidden="1" outlineLevel="1">
      <c r="A61" s="163"/>
      <c r="B61" s="164" t="s">
        <v>75</v>
      </c>
      <c r="C61" s="1254" t="s">
        <v>140</v>
      </c>
      <c r="D61" s="1255"/>
      <c r="E61" s="164" t="s">
        <v>141</v>
      </c>
      <c r="F61" s="164" t="s">
        <v>142</v>
      </c>
      <c r="G61" s="164" t="s">
        <v>143</v>
      </c>
      <c r="H61" s="165" t="s">
        <v>144</v>
      </c>
      <c r="I61" s="165" t="s">
        <v>145</v>
      </c>
      <c r="J61" s="166"/>
    </row>
    <row r="62" spans="1:10" hidden="1" outlineLevel="1">
      <c r="B62" s="165" t="s">
        <v>146</v>
      </c>
      <c r="C62" s="168" t="s">
        <v>147</v>
      </c>
      <c r="D62" s="169"/>
      <c r="E62" s="170"/>
      <c r="F62" s="170"/>
      <c r="G62" s="170"/>
      <c r="H62" s="171"/>
      <c r="I62" s="171"/>
    </row>
    <row r="63" spans="1:10" hidden="1" outlineLevel="1">
      <c r="B63" s="165"/>
      <c r="C63" s="168" t="s">
        <v>77</v>
      </c>
      <c r="D63" s="169"/>
      <c r="E63" s="165" t="s">
        <v>148</v>
      </c>
      <c r="F63" s="165" t="s">
        <v>76</v>
      </c>
      <c r="G63" s="173">
        <v>0.1</v>
      </c>
      <c r="H63" s="174">
        <f>VLOOKUP(C63,'UPAH-BAHAN'!D:F,2,0)</f>
        <v>120000</v>
      </c>
      <c r="I63" s="175">
        <f>G63*H63</f>
        <v>12000</v>
      </c>
    </row>
    <row r="64" spans="1:10" hidden="1" outlineLevel="1">
      <c r="B64" s="165"/>
      <c r="C64" s="168" t="s">
        <v>106</v>
      </c>
      <c r="D64" s="169"/>
      <c r="E64" s="165" t="s">
        <v>149</v>
      </c>
      <c r="F64" s="165" t="s">
        <v>76</v>
      </c>
      <c r="G64" s="173">
        <v>0.1</v>
      </c>
      <c r="H64" s="174">
        <f>VLOOKUP(C64,'UPAH-BAHAN'!D:F,2,0)</f>
        <v>160000</v>
      </c>
      <c r="I64" s="175">
        <f>G64*H64</f>
        <v>16000</v>
      </c>
    </row>
    <row r="65" spans="1:10" hidden="1" outlineLevel="1">
      <c r="B65" s="165"/>
      <c r="C65" s="168" t="s">
        <v>79</v>
      </c>
      <c r="D65" s="169"/>
      <c r="E65" s="165" t="s">
        <v>150</v>
      </c>
      <c r="F65" s="165" t="s">
        <v>76</v>
      </c>
      <c r="G65" s="165">
        <v>0.01</v>
      </c>
      <c r="H65" s="174">
        <f>VLOOKUP(C65,'UPAH-BAHAN'!D:F,2,0)</f>
        <v>170000</v>
      </c>
      <c r="I65" s="175">
        <f>G65*H65</f>
        <v>1700</v>
      </c>
    </row>
    <row r="66" spans="1:10" hidden="1" outlineLevel="1">
      <c r="B66" s="165"/>
      <c r="C66" s="168" t="s">
        <v>80</v>
      </c>
      <c r="D66" s="169"/>
      <c r="E66" s="165" t="s">
        <v>151</v>
      </c>
      <c r="F66" s="165" t="s">
        <v>76</v>
      </c>
      <c r="G66" s="165">
        <v>5.0000000000000001E-3</v>
      </c>
      <c r="H66" s="174">
        <f>VLOOKUP(C66,'UPAH-BAHAN'!D:F,2,0)</f>
        <v>225000</v>
      </c>
      <c r="I66" s="175">
        <f>G66*H66</f>
        <v>1125</v>
      </c>
    </row>
    <row r="67" spans="1:10" hidden="1" outlineLevel="1">
      <c r="B67" s="165"/>
      <c r="C67" s="176"/>
      <c r="D67" s="169"/>
      <c r="E67" s="170"/>
      <c r="F67" s="170"/>
      <c r="G67" s="168" t="s">
        <v>173</v>
      </c>
      <c r="H67" s="177"/>
      <c r="I67" s="175">
        <f>SUM(I63:I66)</f>
        <v>30825</v>
      </c>
    </row>
    <row r="68" spans="1:10" hidden="1" outlineLevel="1">
      <c r="B68" s="165" t="s">
        <v>153</v>
      </c>
      <c r="C68" s="168" t="s">
        <v>154</v>
      </c>
      <c r="D68" s="169"/>
      <c r="E68" s="170"/>
      <c r="F68" s="170"/>
      <c r="G68" s="165"/>
      <c r="H68" s="175"/>
      <c r="I68" s="175"/>
    </row>
    <row r="69" spans="1:10" hidden="1" outlineLevel="1">
      <c r="B69" s="165"/>
      <c r="C69" s="178" t="s">
        <v>252</v>
      </c>
      <c r="D69" s="169"/>
      <c r="E69" s="170"/>
      <c r="F69" s="165" t="s">
        <v>81</v>
      </c>
      <c r="G69" s="165">
        <v>1.2E-2</v>
      </c>
      <c r="H69" s="174">
        <f>VLOOKUP(C69,'UPAH-BAHAN'!D:F,2,0)</f>
        <v>3400000</v>
      </c>
      <c r="I69" s="175">
        <f>G69*H69</f>
        <v>40800</v>
      </c>
    </row>
    <row r="70" spans="1:10" hidden="1" outlineLevel="1">
      <c r="B70" s="165"/>
      <c r="C70" s="168" t="s">
        <v>209</v>
      </c>
      <c r="D70" s="169"/>
      <c r="E70" s="170"/>
      <c r="F70" s="165" t="s">
        <v>69</v>
      </c>
      <c r="G70" s="173">
        <v>0.02</v>
      </c>
      <c r="H70" s="174">
        <f>VLOOKUP(C70,'UPAH-BAHAN'!D:F,2,0)</f>
        <v>20000</v>
      </c>
      <c r="I70" s="175">
        <f>G70*H70</f>
        <v>400</v>
      </c>
    </row>
    <row r="71" spans="1:10" hidden="1" outlineLevel="1">
      <c r="B71" s="165"/>
      <c r="C71" s="178" t="s">
        <v>155</v>
      </c>
      <c r="D71" s="169"/>
      <c r="E71" s="170"/>
      <c r="F71" s="165" t="s">
        <v>81</v>
      </c>
      <c r="G71" s="173">
        <v>7.0000000000000001E-3</v>
      </c>
      <c r="H71" s="174">
        <f>VLOOKUP(C71,'UPAH-BAHAN'!D:F,2,0)</f>
        <v>3400000</v>
      </c>
      <c r="I71" s="175">
        <f>G71*H71</f>
        <v>23800</v>
      </c>
    </row>
    <row r="72" spans="1:10" hidden="1" outlineLevel="1">
      <c r="B72" s="165"/>
      <c r="C72" s="168"/>
      <c r="D72" s="169"/>
      <c r="E72" s="170"/>
      <c r="F72" s="170"/>
      <c r="G72" s="168" t="s">
        <v>172</v>
      </c>
      <c r="H72" s="175"/>
      <c r="I72" s="175">
        <f>SUM(I69:I71)</f>
        <v>65000</v>
      </c>
    </row>
    <row r="73" spans="1:10" hidden="1" outlineLevel="1">
      <c r="B73" s="165" t="s">
        <v>157</v>
      </c>
      <c r="C73" s="168" t="s">
        <v>158</v>
      </c>
      <c r="D73" s="169"/>
      <c r="E73" s="170"/>
      <c r="F73" s="170"/>
      <c r="G73" s="170"/>
      <c r="H73" s="175"/>
      <c r="I73" s="175"/>
    </row>
    <row r="74" spans="1:10" hidden="1" outlineLevel="1">
      <c r="B74" s="165"/>
      <c r="C74" s="168"/>
      <c r="D74" s="169"/>
      <c r="E74" s="170"/>
      <c r="F74" s="170"/>
      <c r="G74" s="168" t="s">
        <v>159</v>
      </c>
      <c r="H74" s="175"/>
      <c r="I74" s="175">
        <v>0</v>
      </c>
    </row>
    <row r="75" spans="1:10" hidden="1" outlineLevel="1">
      <c r="B75" s="165" t="s">
        <v>160</v>
      </c>
      <c r="C75" s="168" t="s">
        <v>161</v>
      </c>
      <c r="D75" s="169"/>
      <c r="E75" s="171"/>
      <c r="F75" s="171"/>
      <c r="G75" s="171"/>
      <c r="H75" s="175"/>
      <c r="I75" s="175">
        <f>I74+I72+I67</f>
        <v>95825</v>
      </c>
    </row>
    <row r="76" spans="1:10" hidden="1" outlineLevel="1">
      <c r="B76" s="165" t="s">
        <v>162</v>
      </c>
      <c r="C76" s="168" t="s">
        <v>82</v>
      </c>
      <c r="D76" s="169"/>
      <c r="E76" s="179"/>
      <c r="F76" s="179"/>
      <c r="G76" s="180">
        <f>$J$3</f>
        <v>0.1</v>
      </c>
      <c r="H76" s="171"/>
      <c r="I76" s="175">
        <f>I75*G76</f>
        <v>9582.5</v>
      </c>
    </row>
    <row r="77" spans="1:10" hidden="1" outlineLevel="1">
      <c r="B77" s="165" t="s">
        <v>163</v>
      </c>
      <c r="C77" s="168" t="s">
        <v>164</v>
      </c>
      <c r="D77" s="169"/>
      <c r="E77" s="742"/>
      <c r="F77" s="181"/>
      <c r="G77" s="181"/>
      <c r="H77" s="182"/>
      <c r="I77" s="183">
        <f>I75+I76</f>
        <v>105407.5</v>
      </c>
    </row>
    <row r="78" spans="1:10" hidden="1" outlineLevel="1">
      <c r="B78" s="184"/>
      <c r="D78" s="186"/>
      <c r="E78" s="186"/>
      <c r="F78" s="186"/>
      <c r="G78" s="186"/>
      <c r="H78" s="187"/>
      <c r="I78" s="187"/>
    </row>
    <row r="79" spans="1:10" collapsed="1">
      <c r="A79" s="159" t="str">
        <f>B79</f>
        <v>Hit. DRN.04</v>
      </c>
      <c r="B79" s="159" t="s">
        <v>653</v>
      </c>
      <c r="C79" s="160"/>
      <c r="D79" s="159" t="s">
        <v>681</v>
      </c>
      <c r="E79" s="159"/>
      <c r="F79" s="159"/>
      <c r="G79" s="159"/>
      <c r="H79" s="161"/>
      <c r="I79" s="160"/>
      <c r="J79" s="162">
        <f>I96</f>
        <v>105407.5</v>
      </c>
    </row>
    <row r="80" spans="1:10" ht="31.2" hidden="1" outlineLevel="1">
      <c r="A80" s="163"/>
      <c r="B80" s="164" t="s">
        <v>75</v>
      </c>
      <c r="C80" s="1254" t="s">
        <v>140</v>
      </c>
      <c r="D80" s="1255"/>
      <c r="E80" s="164" t="s">
        <v>141</v>
      </c>
      <c r="F80" s="164" t="s">
        <v>142</v>
      </c>
      <c r="G80" s="164" t="s">
        <v>143</v>
      </c>
      <c r="H80" s="165" t="s">
        <v>144</v>
      </c>
      <c r="I80" s="165" t="s">
        <v>145</v>
      </c>
      <c r="J80" s="166"/>
    </row>
    <row r="81" spans="2:9" hidden="1" outlineLevel="1">
      <c r="B81" s="165" t="s">
        <v>146</v>
      </c>
      <c r="C81" s="168" t="s">
        <v>147</v>
      </c>
      <c r="D81" s="169"/>
      <c r="E81" s="170"/>
      <c r="F81" s="170"/>
      <c r="G81" s="170"/>
      <c r="H81" s="171"/>
      <c r="I81" s="171"/>
    </row>
    <row r="82" spans="2:9" hidden="1" outlineLevel="1">
      <c r="B82" s="165"/>
      <c r="C82" s="168" t="s">
        <v>77</v>
      </c>
      <c r="D82" s="169"/>
      <c r="E82" s="165" t="s">
        <v>148</v>
      </c>
      <c r="F82" s="165" t="s">
        <v>76</v>
      </c>
      <c r="G82" s="173">
        <v>0.1</v>
      </c>
      <c r="H82" s="174">
        <f>VLOOKUP(C82,'UPAH-BAHAN'!D:F,2,0)</f>
        <v>120000</v>
      </c>
      <c r="I82" s="175">
        <f>G82*H82</f>
        <v>12000</v>
      </c>
    </row>
    <row r="83" spans="2:9" hidden="1" outlineLevel="1">
      <c r="B83" s="165"/>
      <c r="C83" s="168" t="s">
        <v>106</v>
      </c>
      <c r="D83" s="169"/>
      <c r="E83" s="165" t="s">
        <v>149</v>
      </c>
      <c r="F83" s="165" t="s">
        <v>76</v>
      </c>
      <c r="G83" s="173">
        <v>0.1</v>
      </c>
      <c r="H83" s="174">
        <f>VLOOKUP(C83,'UPAH-BAHAN'!D:F,2,0)</f>
        <v>160000</v>
      </c>
      <c r="I83" s="175">
        <f>G83*H83</f>
        <v>16000</v>
      </c>
    </row>
    <row r="84" spans="2:9" hidden="1" outlineLevel="1">
      <c r="B84" s="165"/>
      <c r="C84" s="168" t="s">
        <v>79</v>
      </c>
      <c r="D84" s="169"/>
      <c r="E84" s="165" t="s">
        <v>150</v>
      </c>
      <c r="F84" s="165" t="s">
        <v>76</v>
      </c>
      <c r="G84" s="165">
        <v>0.01</v>
      </c>
      <c r="H84" s="174">
        <f>VLOOKUP(C84,'UPAH-BAHAN'!D:F,2,0)</f>
        <v>170000</v>
      </c>
      <c r="I84" s="175">
        <f>G84*H84</f>
        <v>1700</v>
      </c>
    </row>
    <row r="85" spans="2:9" hidden="1" outlineLevel="1">
      <c r="B85" s="165"/>
      <c r="C85" s="168" t="s">
        <v>80</v>
      </c>
      <c r="D85" s="169"/>
      <c r="E85" s="165" t="s">
        <v>151</v>
      </c>
      <c r="F85" s="165" t="s">
        <v>76</v>
      </c>
      <c r="G85" s="165">
        <v>5.0000000000000001E-3</v>
      </c>
      <c r="H85" s="174">
        <f>VLOOKUP(C85,'UPAH-BAHAN'!D:F,2,0)</f>
        <v>225000</v>
      </c>
      <c r="I85" s="175">
        <f>G85*H85</f>
        <v>1125</v>
      </c>
    </row>
    <row r="86" spans="2:9" hidden="1" outlineLevel="1">
      <c r="B86" s="165"/>
      <c r="C86" s="176"/>
      <c r="D86" s="169"/>
      <c r="E86" s="170"/>
      <c r="F86" s="170"/>
      <c r="G86" s="168" t="s">
        <v>173</v>
      </c>
      <c r="H86" s="177"/>
      <c r="I86" s="175">
        <f>SUM(I82:I85)</f>
        <v>30825</v>
      </c>
    </row>
    <row r="87" spans="2:9" hidden="1" outlineLevel="1">
      <c r="B87" s="165" t="s">
        <v>153</v>
      </c>
      <c r="C87" s="168" t="s">
        <v>154</v>
      </c>
      <c r="D87" s="169"/>
      <c r="E87" s="170"/>
      <c r="F87" s="170"/>
      <c r="G87" s="165"/>
      <c r="H87" s="175"/>
      <c r="I87" s="175"/>
    </row>
    <row r="88" spans="2:9" hidden="1" outlineLevel="1">
      <c r="B88" s="165"/>
      <c r="C88" s="178" t="s">
        <v>252</v>
      </c>
      <c r="D88" s="169"/>
      <c r="E88" s="170"/>
      <c r="F88" s="165" t="s">
        <v>81</v>
      </c>
      <c r="G88" s="165">
        <v>1.2E-2</v>
      </c>
      <c r="H88" s="174">
        <f>VLOOKUP(C88,'UPAH-BAHAN'!D:F,2,0)</f>
        <v>3400000</v>
      </c>
      <c r="I88" s="175">
        <f>G88*H88</f>
        <v>40800</v>
      </c>
    </row>
    <row r="89" spans="2:9" hidden="1" outlineLevel="1">
      <c r="B89" s="165"/>
      <c r="C89" s="168" t="s">
        <v>209</v>
      </c>
      <c r="D89" s="169"/>
      <c r="E89" s="170"/>
      <c r="F89" s="165" t="s">
        <v>69</v>
      </c>
      <c r="G89" s="173">
        <v>0.02</v>
      </c>
      <c r="H89" s="174">
        <f>VLOOKUP(C89,'UPAH-BAHAN'!D:F,2,0)</f>
        <v>20000</v>
      </c>
      <c r="I89" s="175">
        <f>G89*H89</f>
        <v>400</v>
      </c>
    </row>
    <row r="90" spans="2:9" hidden="1" outlineLevel="1">
      <c r="B90" s="165"/>
      <c r="C90" s="178" t="s">
        <v>155</v>
      </c>
      <c r="D90" s="169"/>
      <c r="E90" s="170"/>
      <c r="F90" s="165" t="s">
        <v>81</v>
      </c>
      <c r="G90" s="173">
        <v>7.0000000000000001E-3</v>
      </c>
      <c r="H90" s="174">
        <f>VLOOKUP(C90,'UPAH-BAHAN'!D:F,2,0)</f>
        <v>3400000</v>
      </c>
      <c r="I90" s="175">
        <f>G90*H90</f>
        <v>23800</v>
      </c>
    </row>
    <row r="91" spans="2:9" hidden="1" outlineLevel="1">
      <c r="B91" s="165"/>
      <c r="C91" s="168"/>
      <c r="D91" s="169"/>
      <c r="E91" s="170"/>
      <c r="F91" s="170"/>
      <c r="G91" s="168" t="s">
        <v>172</v>
      </c>
      <c r="H91" s="175"/>
      <c r="I91" s="175">
        <f>SUM(I88:I90)</f>
        <v>65000</v>
      </c>
    </row>
    <row r="92" spans="2:9" hidden="1" outlineLevel="1">
      <c r="B92" s="165" t="s">
        <v>157</v>
      </c>
      <c r="C92" s="168" t="s">
        <v>158</v>
      </c>
      <c r="D92" s="169"/>
      <c r="E92" s="170"/>
      <c r="F92" s="170"/>
      <c r="G92" s="170"/>
      <c r="H92" s="175"/>
      <c r="I92" s="175"/>
    </row>
    <row r="93" spans="2:9" hidden="1" outlineLevel="1">
      <c r="B93" s="165"/>
      <c r="C93" s="168"/>
      <c r="D93" s="169"/>
      <c r="E93" s="170"/>
      <c r="F93" s="170"/>
      <c r="G93" s="168" t="s">
        <v>159</v>
      </c>
      <c r="H93" s="175"/>
      <c r="I93" s="175">
        <v>0</v>
      </c>
    </row>
    <row r="94" spans="2:9" hidden="1" outlineLevel="1">
      <c r="B94" s="165" t="s">
        <v>160</v>
      </c>
      <c r="C94" s="168" t="s">
        <v>161</v>
      </c>
      <c r="D94" s="169"/>
      <c r="E94" s="171"/>
      <c r="F94" s="171"/>
      <c r="G94" s="171"/>
      <c r="H94" s="175"/>
      <c r="I94" s="175">
        <f>I93+I91+I86</f>
        <v>95825</v>
      </c>
    </row>
    <row r="95" spans="2:9" hidden="1" outlineLevel="1">
      <c r="B95" s="165" t="s">
        <v>162</v>
      </c>
      <c r="C95" s="168" t="s">
        <v>82</v>
      </c>
      <c r="D95" s="169"/>
      <c r="E95" s="179"/>
      <c r="F95" s="179"/>
      <c r="G95" s="180">
        <f>$J$3</f>
        <v>0.1</v>
      </c>
      <c r="H95" s="171"/>
      <c r="I95" s="175">
        <f>I94*G95</f>
        <v>9582.5</v>
      </c>
    </row>
    <row r="96" spans="2:9" hidden="1" outlineLevel="1">
      <c r="B96" s="165" t="s">
        <v>163</v>
      </c>
      <c r="C96" s="168" t="s">
        <v>164</v>
      </c>
      <c r="D96" s="169"/>
      <c r="E96" s="742"/>
      <c r="F96" s="181"/>
      <c r="G96" s="181"/>
      <c r="H96" s="182"/>
      <c r="I96" s="183">
        <f>I94+I95</f>
        <v>105407.5</v>
      </c>
    </row>
    <row r="97" spans="1:10" hidden="1" outlineLevel="1">
      <c r="B97" s="184"/>
      <c r="D97" s="186"/>
      <c r="E97" s="186"/>
      <c r="F97" s="186"/>
      <c r="G97" s="186"/>
      <c r="H97" s="187"/>
      <c r="I97" s="187"/>
    </row>
    <row r="98" spans="1:10" ht="20.399999999999999">
      <c r="A98" s="155"/>
      <c r="B98" s="687" t="s">
        <v>352</v>
      </c>
      <c r="C98" s="156"/>
      <c r="D98" s="156"/>
      <c r="E98" s="156"/>
      <c r="F98" s="156"/>
      <c r="G98" s="156"/>
      <c r="H98" s="157"/>
      <c r="I98" s="156"/>
      <c r="J98" s="158"/>
    </row>
    <row r="99" spans="1:10" collapsed="1">
      <c r="A99" s="159" t="str">
        <f>B99</f>
        <v>Hit. BKR.01</v>
      </c>
      <c r="B99" s="159" t="s">
        <v>658</v>
      </c>
      <c r="C99" s="160"/>
      <c r="D99" s="159" t="s">
        <v>374</v>
      </c>
      <c r="E99" s="159"/>
      <c r="F99" s="159"/>
      <c r="G99" s="159"/>
      <c r="H99" s="161"/>
      <c r="I99" s="160"/>
      <c r="J99" s="162">
        <f>I116</f>
        <v>105407.5</v>
      </c>
    </row>
    <row r="100" spans="1:10" ht="31.2" hidden="1" outlineLevel="1">
      <c r="A100" s="163"/>
      <c r="B100" s="164" t="s">
        <v>75</v>
      </c>
      <c r="C100" s="1254" t="s">
        <v>140</v>
      </c>
      <c r="D100" s="1255"/>
      <c r="E100" s="164" t="s">
        <v>141</v>
      </c>
      <c r="F100" s="164" t="s">
        <v>142</v>
      </c>
      <c r="G100" s="164" t="s">
        <v>143</v>
      </c>
      <c r="H100" s="165" t="s">
        <v>144</v>
      </c>
      <c r="I100" s="165" t="s">
        <v>145</v>
      </c>
      <c r="J100" s="166"/>
    </row>
    <row r="101" spans="1:10" hidden="1" outlineLevel="1">
      <c r="B101" s="165" t="s">
        <v>146</v>
      </c>
      <c r="C101" s="168" t="s">
        <v>147</v>
      </c>
      <c r="D101" s="169"/>
      <c r="E101" s="170"/>
      <c r="F101" s="170"/>
      <c r="G101" s="170"/>
      <c r="H101" s="171"/>
      <c r="I101" s="171"/>
    </row>
    <row r="102" spans="1:10" hidden="1" outlineLevel="1">
      <c r="B102" s="165"/>
      <c r="C102" s="168" t="s">
        <v>77</v>
      </c>
      <c r="D102" s="169"/>
      <c r="E102" s="165" t="s">
        <v>148</v>
      </c>
      <c r="F102" s="165" t="s">
        <v>76</v>
      </c>
      <c r="G102" s="173">
        <v>0.1</v>
      </c>
      <c r="H102" s="174">
        <f>VLOOKUP(C102,'UPAH-BAHAN'!D:F,2,0)</f>
        <v>120000</v>
      </c>
      <c r="I102" s="175">
        <f>G102*H102</f>
        <v>12000</v>
      </c>
    </row>
    <row r="103" spans="1:10" hidden="1" outlineLevel="1">
      <c r="B103" s="165"/>
      <c r="C103" s="168" t="s">
        <v>106</v>
      </c>
      <c r="D103" s="169"/>
      <c r="E103" s="165" t="s">
        <v>149</v>
      </c>
      <c r="F103" s="165" t="s">
        <v>76</v>
      </c>
      <c r="G103" s="173">
        <v>0.1</v>
      </c>
      <c r="H103" s="174">
        <f>VLOOKUP(C103,'UPAH-BAHAN'!D:F,2,0)</f>
        <v>160000</v>
      </c>
      <c r="I103" s="175">
        <f>G103*H103</f>
        <v>16000</v>
      </c>
    </row>
    <row r="104" spans="1:10" hidden="1" outlineLevel="1">
      <c r="B104" s="165"/>
      <c r="C104" s="168" t="s">
        <v>79</v>
      </c>
      <c r="D104" s="169"/>
      <c r="E104" s="165" t="s">
        <v>150</v>
      </c>
      <c r="F104" s="165" t="s">
        <v>76</v>
      </c>
      <c r="G104" s="165">
        <v>0.01</v>
      </c>
      <c r="H104" s="174">
        <f>VLOOKUP(C104,'UPAH-BAHAN'!D:F,2,0)</f>
        <v>170000</v>
      </c>
      <c r="I104" s="175">
        <f>G104*H104</f>
        <v>1700</v>
      </c>
    </row>
    <row r="105" spans="1:10" hidden="1" outlineLevel="1">
      <c r="B105" s="165"/>
      <c r="C105" s="168" t="s">
        <v>80</v>
      </c>
      <c r="D105" s="169"/>
      <c r="E105" s="165" t="s">
        <v>151</v>
      </c>
      <c r="F105" s="165" t="s">
        <v>76</v>
      </c>
      <c r="G105" s="165">
        <v>5.0000000000000001E-3</v>
      </c>
      <c r="H105" s="174">
        <f>VLOOKUP(C105,'UPAH-BAHAN'!D:F,2,0)</f>
        <v>225000</v>
      </c>
      <c r="I105" s="175">
        <f>G105*H105</f>
        <v>1125</v>
      </c>
    </row>
    <row r="106" spans="1:10" hidden="1" outlineLevel="1">
      <c r="B106" s="165"/>
      <c r="C106" s="176"/>
      <c r="D106" s="169"/>
      <c r="E106" s="170"/>
      <c r="F106" s="170"/>
      <c r="G106" s="168" t="s">
        <v>173</v>
      </c>
      <c r="H106" s="177"/>
      <c r="I106" s="175">
        <f>SUM(I102:I105)</f>
        <v>30825</v>
      </c>
    </row>
    <row r="107" spans="1:10" hidden="1" outlineLevel="1">
      <c r="B107" s="165" t="s">
        <v>153</v>
      </c>
      <c r="C107" s="168" t="s">
        <v>154</v>
      </c>
      <c r="D107" s="169"/>
      <c r="E107" s="170"/>
      <c r="F107" s="170"/>
      <c r="G107" s="165"/>
      <c r="H107" s="175"/>
      <c r="I107" s="175"/>
    </row>
    <row r="108" spans="1:10" hidden="1" outlineLevel="1">
      <c r="B108" s="165"/>
      <c r="C108" s="178" t="s">
        <v>252</v>
      </c>
      <c r="D108" s="169"/>
      <c r="E108" s="170"/>
      <c r="F108" s="165" t="s">
        <v>81</v>
      </c>
      <c r="G108" s="165">
        <v>1.2E-2</v>
      </c>
      <c r="H108" s="174">
        <f>VLOOKUP(C108,'UPAH-BAHAN'!D:F,2,0)</f>
        <v>3400000</v>
      </c>
      <c r="I108" s="175">
        <f>G108*H108</f>
        <v>40800</v>
      </c>
    </row>
    <row r="109" spans="1:10" hidden="1" outlineLevel="1">
      <c r="B109" s="165"/>
      <c r="C109" s="168" t="s">
        <v>209</v>
      </c>
      <c r="D109" s="169"/>
      <c r="E109" s="170"/>
      <c r="F109" s="165" t="s">
        <v>69</v>
      </c>
      <c r="G109" s="173">
        <v>0.02</v>
      </c>
      <c r="H109" s="174">
        <f>VLOOKUP(C109,'UPAH-BAHAN'!D:F,2,0)</f>
        <v>20000</v>
      </c>
      <c r="I109" s="175">
        <f>G109*H109</f>
        <v>400</v>
      </c>
    </row>
    <row r="110" spans="1:10" hidden="1" outlineLevel="1">
      <c r="B110" s="165"/>
      <c r="C110" s="178" t="s">
        <v>155</v>
      </c>
      <c r="D110" s="169"/>
      <c r="E110" s="170"/>
      <c r="F110" s="165" t="s">
        <v>81</v>
      </c>
      <c r="G110" s="173">
        <v>7.0000000000000001E-3</v>
      </c>
      <c r="H110" s="174">
        <f>VLOOKUP(C110,'UPAH-BAHAN'!D:F,2,0)</f>
        <v>3400000</v>
      </c>
      <c r="I110" s="175">
        <f>G110*H110</f>
        <v>23800</v>
      </c>
    </row>
    <row r="111" spans="1:10" hidden="1" outlineLevel="1">
      <c r="B111" s="165"/>
      <c r="C111" s="168"/>
      <c r="D111" s="169"/>
      <c r="E111" s="170"/>
      <c r="F111" s="170"/>
      <c r="G111" s="168" t="s">
        <v>172</v>
      </c>
      <c r="H111" s="175"/>
      <c r="I111" s="175">
        <f>SUM(I108:I110)</f>
        <v>65000</v>
      </c>
    </row>
    <row r="112" spans="1:10" hidden="1" outlineLevel="1">
      <c r="B112" s="165" t="s">
        <v>157</v>
      </c>
      <c r="C112" s="168" t="s">
        <v>158</v>
      </c>
      <c r="D112" s="169"/>
      <c r="E112" s="170"/>
      <c r="F112" s="170"/>
      <c r="G112" s="170"/>
      <c r="H112" s="175"/>
      <c r="I112" s="175"/>
    </row>
    <row r="113" spans="2:9" hidden="1" outlineLevel="1">
      <c r="B113" s="165"/>
      <c r="C113" s="168"/>
      <c r="D113" s="169"/>
      <c r="E113" s="170"/>
      <c r="F113" s="170"/>
      <c r="G113" s="168" t="s">
        <v>159</v>
      </c>
      <c r="H113" s="175"/>
      <c r="I113" s="175">
        <v>0</v>
      </c>
    </row>
    <row r="114" spans="2:9" hidden="1" outlineLevel="1">
      <c r="B114" s="165" t="s">
        <v>160</v>
      </c>
      <c r="C114" s="168" t="s">
        <v>161</v>
      </c>
      <c r="D114" s="169"/>
      <c r="E114" s="171"/>
      <c r="F114" s="171"/>
      <c r="G114" s="171"/>
      <c r="H114" s="175"/>
      <c r="I114" s="175">
        <f>I113+I111+I106</f>
        <v>95825</v>
      </c>
    </row>
    <row r="115" spans="2:9" hidden="1" outlineLevel="1">
      <c r="B115" s="165" t="s">
        <v>162</v>
      </c>
      <c r="C115" s="168" t="s">
        <v>82</v>
      </c>
      <c r="D115" s="169"/>
      <c r="E115" s="179"/>
      <c r="F115" s="179"/>
      <c r="G115" s="180">
        <f>$J$3</f>
        <v>0.1</v>
      </c>
      <c r="H115" s="171"/>
      <c r="I115" s="175">
        <f>I114*G115</f>
        <v>9582.5</v>
      </c>
    </row>
    <row r="116" spans="2:9" hidden="1" outlineLevel="1">
      <c r="B116" s="165" t="s">
        <v>163</v>
      </c>
      <c r="C116" s="168" t="s">
        <v>164</v>
      </c>
      <c r="D116" s="169"/>
      <c r="E116" s="742"/>
      <c r="F116" s="181"/>
      <c r="G116" s="181"/>
      <c r="H116" s="182"/>
      <c r="I116" s="183">
        <f>I114+I115</f>
        <v>105407.5</v>
      </c>
    </row>
    <row r="117" spans="2:9" hidden="1" outlineLevel="1">
      <c r="B117" s="184"/>
      <c r="D117" s="186"/>
      <c r="E117" s="186"/>
      <c r="F117" s="186"/>
      <c r="G117" s="186"/>
      <c r="H117" s="186"/>
      <c r="I117" s="187"/>
    </row>
  </sheetData>
  <mergeCells count="7">
    <mergeCell ref="C42:D42"/>
    <mergeCell ref="C100:D100"/>
    <mergeCell ref="B3:I3"/>
    <mergeCell ref="C7:D7"/>
    <mergeCell ref="C23:D23"/>
    <mergeCell ref="C61:D61"/>
    <mergeCell ref="C80:D80"/>
  </mergeCells>
  <pageMargins left="0.7" right="0.7" top="0.75" bottom="0.75" header="0.3" footer="0.3"/>
  <pageSetup scale="70" orientation="portrait" r:id="rId1"/>
  <colBreaks count="1" manualBreakCount="1">
    <brk id="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"/>
  <sheetViews>
    <sheetView topLeftCell="A6" zoomScale="55" zoomScaleNormal="55" workbookViewId="0">
      <selection activeCell="G63" sqref="G63"/>
    </sheetView>
  </sheetViews>
  <sheetFormatPr defaultRowHeight="13.2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outlinePr summaryBelow="0" summaryRight="0"/>
  </sheetPr>
  <dimension ref="A3:S622"/>
  <sheetViews>
    <sheetView tabSelected="1" view="pageBreakPreview" topLeftCell="F3" zoomScale="90" zoomScaleNormal="90" zoomScaleSheetLayoutView="90" workbookViewId="0">
      <selection activeCell="M617" sqref="M617"/>
    </sheetView>
  </sheetViews>
  <sheetFormatPr defaultColWidth="9.21875" defaultRowHeight="15" outlineLevelRow="2" outlineLevelCol="1"/>
  <cols>
    <col min="1" max="1" width="30.33203125" style="766" customWidth="1"/>
    <col min="2" max="2" width="5.77734375" style="764" customWidth="1"/>
    <col min="3" max="3" width="5.5546875" style="764" customWidth="1"/>
    <col min="4" max="4" width="4.77734375" style="763" customWidth="1"/>
    <col min="5" max="5" width="11.44140625" style="764" customWidth="1"/>
    <col min="6" max="6" width="3" style="764" customWidth="1"/>
    <col min="7" max="7" width="41.77734375" style="769" customWidth="1"/>
    <col min="8" max="8" width="14.33203125" style="765" customWidth="1"/>
    <col min="9" max="9" width="7.21875" style="770" customWidth="1"/>
    <col min="10" max="10" width="16.44140625" style="771" customWidth="1" collapsed="1"/>
    <col min="11" max="11" width="89.5546875" style="772" hidden="1" customWidth="1" outlineLevel="1"/>
    <col min="12" max="14" width="24.77734375" style="770" customWidth="1"/>
    <col min="15" max="15" width="24.6640625" style="770" customWidth="1"/>
    <col min="16" max="17" width="24.77734375" style="770" customWidth="1"/>
    <col min="18" max="19" width="23.77734375" style="766" bestFit="1" customWidth="1"/>
    <col min="20" max="16384" width="9.21875" style="766"/>
  </cols>
  <sheetData>
    <row r="3" spans="2:17" s="898" customFormat="1" ht="30">
      <c r="B3" s="1280" t="s">
        <v>928</v>
      </c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</row>
    <row r="4" spans="2:17" s="898" customFormat="1" ht="20.399999999999999" customHeight="1">
      <c r="B4" s="1281" t="str">
        <f>G8</f>
        <v>PEMELIHARAAN GEDUNG SERBA GUNA</v>
      </c>
      <c r="C4" s="1281"/>
      <c r="D4" s="1281"/>
      <c r="E4" s="1281"/>
      <c r="F4" s="1281"/>
      <c r="G4" s="1281"/>
      <c r="H4" s="1281"/>
      <c r="I4" s="1281"/>
      <c r="J4" s="1281"/>
      <c r="K4" s="1281"/>
      <c r="L4" s="1281"/>
      <c r="M4" s="1281"/>
      <c r="N4" s="1281"/>
      <c r="O4" s="1281"/>
      <c r="P4" s="1281"/>
      <c r="Q4" s="1281"/>
    </row>
    <row r="5" spans="2:17" s="898" customFormat="1" ht="28.2" customHeight="1" thickBot="1">
      <c r="B5" s="1282" t="str">
        <f>G9</f>
        <v>Jalan Williem Iskandar Medan - Sumatera Utara</v>
      </c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1282"/>
      <c r="N5" s="1282"/>
      <c r="O5" s="1282"/>
      <c r="P5" s="1282"/>
      <c r="Q5" s="1282"/>
    </row>
    <row r="6" spans="2:17" s="768" customFormat="1" ht="16.2" thickTop="1">
      <c r="B6" s="1077"/>
      <c r="C6" s="1078"/>
      <c r="D6" s="1078"/>
      <c r="E6" s="1078"/>
      <c r="F6" s="1078"/>
      <c r="G6" s="1078"/>
      <c r="H6" s="1078"/>
      <c r="I6" s="1078"/>
      <c r="J6" s="1078"/>
      <c r="K6" s="1079"/>
      <c r="L6" s="1078"/>
      <c r="M6" s="1078"/>
      <c r="N6" s="1078"/>
      <c r="O6" s="1078"/>
      <c r="P6" s="1078"/>
      <c r="Q6" s="1080"/>
    </row>
    <row r="7" spans="2:17" ht="15.6">
      <c r="B7" s="1081" t="s">
        <v>384</v>
      </c>
      <c r="F7" s="768" t="s">
        <v>26</v>
      </c>
      <c r="G7" s="768" t="s">
        <v>380</v>
      </c>
      <c r="H7" s="861"/>
      <c r="I7" s="766"/>
      <c r="J7" s="767"/>
      <c r="K7" s="768"/>
      <c r="L7" s="764"/>
      <c r="M7" s="764"/>
      <c r="N7" s="764"/>
      <c r="O7" s="764"/>
      <c r="P7" s="764"/>
      <c r="Q7" s="1082"/>
    </row>
    <row r="8" spans="2:17" ht="15.6">
      <c r="B8" s="1083" t="s">
        <v>385</v>
      </c>
      <c r="F8" s="768" t="s">
        <v>26</v>
      </c>
      <c r="G8" s="768" t="s">
        <v>377</v>
      </c>
      <c r="H8" s="861"/>
      <c r="I8" s="766"/>
      <c r="J8" s="767"/>
      <c r="K8" s="768"/>
      <c r="L8" s="764"/>
      <c r="M8" s="764"/>
      <c r="N8" s="764"/>
      <c r="O8" s="764"/>
      <c r="P8" s="764"/>
      <c r="Q8" s="1082"/>
    </row>
    <row r="9" spans="2:17" ht="15.6">
      <c r="B9" s="1083" t="s">
        <v>388</v>
      </c>
      <c r="F9" s="768" t="s">
        <v>26</v>
      </c>
      <c r="G9" s="768" t="s">
        <v>929</v>
      </c>
      <c r="H9" s="861"/>
      <c r="I9" s="766"/>
      <c r="J9" s="767"/>
      <c r="K9" s="768"/>
      <c r="L9" s="764"/>
      <c r="M9" s="764"/>
      <c r="N9" s="764"/>
      <c r="O9" s="764"/>
      <c r="P9" s="764"/>
      <c r="Q9" s="1082"/>
    </row>
    <row r="10" spans="2:17" ht="15.6">
      <c r="B10" s="1083" t="s">
        <v>386</v>
      </c>
      <c r="F10" s="768" t="s">
        <v>26</v>
      </c>
      <c r="G10" s="768" t="s">
        <v>376</v>
      </c>
      <c r="H10" s="861"/>
      <c r="I10" s="764"/>
      <c r="J10" s="767"/>
      <c r="K10" s="768"/>
      <c r="L10" s="764"/>
      <c r="M10" s="764"/>
      <c r="N10" s="764"/>
      <c r="O10" s="764"/>
      <c r="P10" s="764"/>
      <c r="Q10" s="1082"/>
    </row>
    <row r="11" spans="2:17" ht="15.6">
      <c r="B11" s="1083" t="s">
        <v>387</v>
      </c>
      <c r="F11" s="768" t="s">
        <v>26</v>
      </c>
      <c r="G11" s="768" t="s">
        <v>348</v>
      </c>
      <c r="H11" s="861"/>
      <c r="I11" s="764"/>
      <c r="J11" s="767"/>
      <c r="K11" s="768"/>
      <c r="L11" s="764"/>
      <c r="M11" s="764"/>
      <c r="N11" s="764"/>
      <c r="O11" s="764"/>
      <c r="P11" s="764"/>
      <c r="Q11" s="1082"/>
    </row>
    <row r="12" spans="2:17" ht="15.6" thickBot="1">
      <c r="B12" s="1084"/>
      <c r="C12" s="1085"/>
      <c r="D12" s="1086"/>
      <c r="E12" s="1085"/>
      <c r="F12" s="1085"/>
      <c r="G12" s="1087"/>
      <c r="H12" s="1088"/>
      <c r="I12" s="1089"/>
      <c r="J12" s="1090"/>
      <c r="K12" s="1091"/>
      <c r="L12" s="1089"/>
      <c r="M12" s="1089"/>
      <c r="N12" s="1089"/>
      <c r="O12" s="1089"/>
      <c r="P12" s="1089"/>
      <c r="Q12" s="1092"/>
    </row>
    <row r="13" spans="2:17" s="873" customFormat="1" ht="43.2" customHeight="1" thickTop="1">
      <c r="B13" s="1108" t="s">
        <v>0</v>
      </c>
      <c r="C13" s="1273" t="s">
        <v>24</v>
      </c>
      <c r="D13" s="1274"/>
      <c r="E13" s="1274"/>
      <c r="F13" s="1274"/>
      <c r="G13" s="1275"/>
      <c r="H13" s="1109" t="s">
        <v>1</v>
      </c>
      <c r="I13" s="1109" t="s">
        <v>40</v>
      </c>
      <c r="J13" s="1109" t="s">
        <v>4</v>
      </c>
      <c r="K13" s="1110"/>
      <c r="L13" s="1111" t="s">
        <v>934</v>
      </c>
      <c r="M13" s="1111" t="s">
        <v>935</v>
      </c>
      <c r="N13" s="1109" t="s">
        <v>931</v>
      </c>
      <c r="O13" s="1112" t="s">
        <v>930</v>
      </c>
      <c r="P13" s="1109" t="s">
        <v>932</v>
      </c>
      <c r="Q13" s="1113" t="s">
        <v>933</v>
      </c>
    </row>
    <row r="14" spans="2:17" ht="16.2" thickBot="1">
      <c r="B14" s="778" t="s">
        <v>9</v>
      </c>
      <c r="C14" s="1230" t="s">
        <v>10</v>
      </c>
      <c r="D14" s="1231"/>
      <c r="E14" s="1231"/>
      <c r="F14" s="1231"/>
      <c r="G14" s="1232"/>
      <c r="H14" s="779" t="s">
        <v>11</v>
      </c>
      <c r="I14" s="779" t="s">
        <v>12</v>
      </c>
      <c r="J14" s="780" t="s">
        <v>13</v>
      </c>
      <c r="K14" s="781"/>
      <c r="L14" s="782" t="s">
        <v>14</v>
      </c>
      <c r="M14" s="782" t="s">
        <v>15</v>
      </c>
      <c r="N14" s="780" t="s">
        <v>936</v>
      </c>
      <c r="O14" s="1074" t="s">
        <v>937</v>
      </c>
      <c r="P14" s="780" t="s">
        <v>938</v>
      </c>
      <c r="Q14" s="1065" t="s">
        <v>939</v>
      </c>
    </row>
    <row r="15" spans="2:17" ht="15.6" thickTop="1">
      <c r="B15" s="784"/>
      <c r="C15" s="785"/>
      <c r="D15" s="786"/>
      <c r="E15" s="785"/>
      <c r="F15" s="785"/>
      <c r="G15" s="787"/>
      <c r="H15" s="788"/>
      <c r="I15" s="789"/>
      <c r="J15" s="789"/>
      <c r="K15" s="790"/>
      <c r="L15" s="791"/>
      <c r="M15" s="1059"/>
      <c r="N15" s="791"/>
      <c r="O15" s="1075"/>
      <c r="P15" s="791"/>
      <c r="Q15" s="1066"/>
    </row>
    <row r="16" spans="2:17" ht="15.6">
      <c r="B16" s="851" t="s">
        <v>146</v>
      </c>
      <c r="C16" s="1185" t="s">
        <v>349</v>
      </c>
      <c r="E16" s="875"/>
      <c r="F16" s="795"/>
      <c r="G16" s="796"/>
      <c r="H16" s="797"/>
      <c r="I16" s="798"/>
      <c r="J16" s="798"/>
      <c r="K16" s="876"/>
      <c r="L16" s="877"/>
      <c r="M16" s="1060"/>
      <c r="N16" s="877"/>
      <c r="O16" s="882"/>
      <c r="P16" s="877"/>
      <c r="Q16" s="1067"/>
    </row>
    <row r="17" spans="2:17" ht="17.55" customHeight="1" outlineLevel="1">
      <c r="B17" s="793"/>
      <c r="C17" s="696"/>
      <c r="D17" s="794">
        <v>1</v>
      </c>
      <c r="E17" s="795" t="s">
        <v>803</v>
      </c>
      <c r="F17" s="795"/>
      <c r="G17" s="796"/>
      <c r="H17" s="797"/>
      <c r="I17" s="798"/>
      <c r="J17" s="798"/>
      <c r="K17" s="799"/>
      <c r="L17" s="800"/>
      <c r="M17" s="1061"/>
      <c r="N17" s="800"/>
      <c r="O17" s="806"/>
      <c r="P17" s="800"/>
      <c r="Q17" s="1068"/>
    </row>
    <row r="18" spans="2:17" ht="17.55" customHeight="1" outlineLevel="2">
      <c r="B18" s="793"/>
      <c r="C18" s="802"/>
      <c r="D18" s="794"/>
      <c r="E18" s="803" t="s">
        <v>537</v>
      </c>
      <c r="F18" s="795"/>
      <c r="G18" s="796"/>
      <c r="H18" s="797">
        <f>RAB!H16</f>
        <v>15</v>
      </c>
      <c r="I18" s="797" t="str">
        <f>RAB!I16</f>
        <v>Bh</v>
      </c>
      <c r="J18" s="797" t="str">
        <f>RAB!J16</f>
        <v>Harga Satuan</v>
      </c>
      <c r="K18" s="804" t="e">
        <f>VLOOKUP(J18,RKPANL!B:D,2,0)</f>
        <v>#N/A</v>
      </c>
      <c r="L18" s="800">
        <f>RAB!L16</f>
        <v>75000</v>
      </c>
      <c r="M18" s="1061">
        <f>L18*H18</f>
        <v>1125000</v>
      </c>
      <c r="N18" s="800"/>
      <c r="O18" s="1126">
        <v>1</v>
      </c>
      <c r="P18" s="800">
        <f t="shared" ref="P18:P26" si="0">M18*O18</f>
        <v>1125000</v>
      </c>
      <c r="Q18" s="1068">
        <f t="shared" ref="Q18:Q26" si="1">M18-P18</f>
        <v>0</v>
      </c>
    </row>
    <row r="19" spans="2:17" ht="17.55" customHeight="1" outlineLevel="2">
      <c r="B19" s="793"/>
      <c r="C19" s="802"/>
      <c r="D19" s="794"/>
      <c r="E19" s="803" t="s">
        <v>804</v>
      </c>
      <c r="F19" s="795"/>
      <c r="G19" s="796"/>
      <c r="H19" s="797">
        <f>RAB!H17</f>
        <v>15</v>
      </c>
      <c r="I19" s="797" t="str">
        <f>RAB!I17</f>
        <v>Bh</v>
      </c>
      <c r="J19" s="797" t="str">
        <f>RAB!J17</f>
        <v>Harga Satuan</v>
      </c>
      <c r="K19" s="804" t="e">
        <f>VLOOKUP(J19,RKPANL!B:D,2,0)</f>
        <v>#N/A</v>
      </c>
      <c r="L19" s="800">
        <f>RAB!L17</f>
        <v>35000</v>
      </c>
      <c r="M19" s="1061">
        <f t="shared" ref="M19:M26" si="2">L19*H19</f>
        <v>525000</v>
      </c>
      <c r="N19" s="800"/>
      <c r="O19" s="1126">
        <v>1</v>
      </c>
      <c r="P19" s="800">
        <f t="shared" si="0"/>
        <v>525000</v>
      </c>
      <c r="Q19" s="1068">
        <f t="shared" si="1"/>
        <v>0</v>
      </c>
    </row>
    <row r="20" spans="2:17" ht="17.55" customHeight="1" outlineLevel="2">
      <c r="B20" s="793"/>
      <c r="C20" s="802"/>
      <c r="D20" s="794"/>
      <c r="E20" s="803" t="s">
        <v>539</v>
      </c>
      <c r="F20" s="795"/>
      <c r="G20" s="796"/>
      <c r="H20" s="797">
        <f>RAB!H18</f>
        <v>15</v>
      </c>
      <c r="I20" s="797" t="str">
        <f>RAB!I18</f>
        <v>Bh</v>
      </c>
      <c r="J20" s="797" t="str">
        <f>RAB!J18</f>
        <v>Harga Satuan</v>
      </c>
      <c r="K20" s="804" t="e">
        <f>VLOOKUP(J20,RKPANL!B:D,2,0)</f>
        <v>#N/A</v>
      </c>
      <c r="L20" s="800">
        <f>RAB!L18</f>
        <v>50000</v>
      </c>
      <c r="M20" s="1061">
        <f t="shared" si="2"/>
        <v>750000</v>
      </c>
      <c r="N20" s="800"/>
      <c r="O20" s="1126">
        <v>1</v>
      </c>
      <c r="P20" s="800">
        <f t="shared" si="0"/>
        <v>750000</v>
      </c>
      <c r="Q20" s="1068">
        <f t="shared" si="1"/>
        <v>0</v>
      </c>
    </row>
    <row r="21" spans="2:17" ht="17.55" customHeight="1" outlineLevel="2">
      <c r="B21" s="793"/>
      <c r="C21" s="802"/>
      <c r="D21" s="794"/>
      <c r="E21" s="803" t="s">
        <v>540</v>
      </c>
      <c r="F21" s="795"/>
      <c r="G21" s="796"/>
      <c r="H21" s="797">
        <f>RAB!H19</f>
        <v>100</v>
      </c>
      <c r="I21" s="797" t="str">
        <f>RAB!I19</f>
        <v>Bh</v>
      </c>
      <c r="J21" s="797" t="str">
        <f>RAB!J19</f>
        <v>Harga Satuan</v>
      </c>
      <c r="K21" s="804" t="e">
        <f>VLOOKUP(J21,RKPANL!B:D,2,0)</f>
        <v>#N/A</v>
      </c>
      <c r="L21" s="800">
        <f>RAB!L19</f>
        <v>2500</v>
      </c>
      <c r="M21" s="1061">
        <f t="shared" si="2"/>
        <v>250000</v>
      </c>
      <c r="N21" s="800"/>
      <c r="O21" s="1126">
        <v>1</v>
      </c>
      <c r="P21" s="800">
        <f t="shared" si="0"/>
        <v>250000</v>
      </c>
      <c r="Q21" s="1068">
        <f t="shared" si="1"/>
        <v>0</v>
      </c>
    </row>
    <row r="22" spans="2:17" ht="17.55" customHeight="1" outlineLevel="2">
      <c r="B22" s="793"/>
      <c r="C22" s="802"/>
      <c r="D22" s="794"/>
      <c r="E22" s="803" t="s">
        <v>542</v>
      </c>
      <c r="F22" s="795"/>
      <c r="G22" s="796"/>
      <c r="H22" s="797">
        <f>RAB!H20</f>
        <v>15</v>
      </c>
      <c r="I22" s="797" t="str">
        <f>RAB!I20</f>
        <v>Psg</v>
      </c>
      <c r="J22" s="797" t="str">
        <f>RAB!J20</f>
        <v>Harga Satuan</v>
      </c>
      <c r="K22" s="804" t="e">
        <f>VLOOKUP(J22,RKPANL!B:D,2,0)</f>
        <v>#N/A</v>
      </c>
      <c r="L22" s="800">
        <f>RAB!L20</f>
        <v>175000</v>
      </c>
      <c r="M22" s="1061">
        <f t="shared" si="2"/>
        <v>2625000</v>
      </c>
      <c r="N22" s="800"/>
      <c r="O22" s="1126">
        <v>1</v>
      </c>
      <c r="P22" s="800">
        <f t="shared" si="0"/>
        <v>2625000</v>
      </c>
      <c r="Q22" s="1068">
        <f t="shared" si="1"/>
        <v>0</v>
      </c>
    </row>
    <row r="23" spans="2:17" ht="17.55" customHeight="1" outlineLevel="2">
      <c r="B23" s="793"/>
      <c r="C23" s="802"/>
      <c r="D23" s="794"/>
      <c r="E23" s="803" t="s">
        <v>544</v>
      </c>
      <c r="F23" s="795"/>
      <c r="G23" s="796"/>
      <c r="H23" s="797">
        <f>RAB!H21</f>
        <v>15</v>
      </c>
      <c r="I23" s="797" t="str">
        <f>RAB!I21</f>
        <v>Psg</v>
      </c>
      <c r="J23" s="797" t="str">
        <f>RAB!J21</f>
        <v>Harga Satuan</v>
      </c>
      <c r="K23" s="804" t="e">
        <f>VLOOKUP(J23,RKPANL!B:D,2,0)</f>
        <v>#N/A</v>
      </c>
      <c r="L23" s="800">
        <f>RAB!L21</f>
        <v>700000</v>
      </c>
      <c r="M23" s="1061">
        <f t="shared" si="2"/>
        <v>10500000</v>
      </c>
      <c r="N23" s="800"/>
      <c r="O23" s="1126">
        <v>1</v>
      </c>
      <c r="P23" s="800">
        <f t="shared" si="0"/>
        <v>10500000</v>
      </c>
      <c r="Q23" s="1068">
        <f t="shared" si="1"/>
        <v>0</v>
      </c>
    </row>
    <row r="24" spans="2:17" ht="17.55" customHeight="1" outlineLevel="2">
      <c r="B24" s="793"/>
      <c r="C24" s="802"/>
      <c r="D24" s="794"/>
      <c r="E24" s="803" t="s">
        <v>545</v>
      </c>
      <c r="F24" s="795"/>
      <c r="G24" s="796"/>
      <c r="H24" s="797">
        <f>RAB!H22</f>
        <v>15</v>
      </c>
      <c r="I24" s="797" t="str">
        <f>RAB!I22</f>
        <v>Bh</v>
      </c>
      <c r="J24" s="797" t="str">
        <f>RAB!J22</f>
        <v>Harga Satuan</v>
      </c>
      <c r="K24" s="804" t="e">
        <f>VLOOKUP(J24,RKPANL!B:D,2,0)</f>
        <v>#N/A</v>
      </c>
      <c r="L24" s="800">
        <f>RAB!L22</f>
        <v>250000</v>
      </c>
      <c r="M24" s="1061">
        <f t="shared" si="2"/>
        <v>3750000</v>
      </c>
      <c r="N24" s="800"/>
      <c r="O24" s="1126">
        <v>1</v>
      </c>
      <c r="P24" s="800">
        <f t="shared" si="0"/>
        <v>3750000</v>
      </c>
      <c r="Q24" s="1068">
        <f t="shared" si="1"/>
        <v>0</v>
      </c>
    </row>
    <row r="25" spans="2:17" ht="17.55" customHeight="1" outlineLevel="2">
      <c r="B25" s="793"/>
      <c r="C25" s="802"/>
      <c r="D25" s="794"/>
      <c r="E25" s="803" t="s">
        <v>546</v>
      </c>
      <c r="F25" s="795"/>
      <c r="G25" s="796"/>
      <c r="H25" s="797">
        <f>RAB!H23</f>
        <v>15</v>
      </c>
      <c r="I25" s="797" t="str">
        <f>RAB!I23</f>
        <v>Bh</v>
      </c>
      <c r="J25" s="797" t="str">
        <f>RAB!J23</f>
        <v>Harga Satuan</v>
      </c>
      <c r="K25" s="804" t="e">
        <f>VLOOKUP(J25,RKPANL!B:D,2,0)</f>
        <v>#N/A</v>
      </c>
      <c r="L25" s="800">
        <f>RAB!L23</f>
        <v>20000</v>
      </c>
      <c r="M25" s="1061">
        <f t="shared" si="2"/>
        <v>300000</v>
      </c>
      <c r="N25" s="800"/>
      <c r="O25" s="1126">
        <v>1</v>
      </c>
      <c r="P25" s="800">
        <f t="shared" si="0"/>
        <v>300000</v>
      </c>
      <c r="Q25" s="1068">
        <f t="shared" si="1"/>
        <v>0</v>
      </c>
    </row>
    <row r="26" spans="2:17" ht="17.55" customHeight="1" outlineLevel="1">
      <c r="B26" s="793"/>
      <c r="C26" s="802"/>
      <c r="D26" s="794">
        <v>2</v>
      </c>
      <c r="E26" s="795" t="s">
        <v>712</v>
      </c>
      <c r="F26" s="769"/>
      <c r="G26" s="796"/>
      <c r="H26" s="797">
        <f>RAB!H24</f>
        <v>1</v>
      </c>
      <c r="I26" s="797" t="str">
        <f>RAB!I24</f>
        <v>Ls</v>
      </c>
      <c r="J26" s="797" t="str">
        <f>RAB!J24</f>
        <v>Harga Satuan</v>
      </c>
      <c r="K26" s="804" t="e">
        <f>VLOOKUP(J26,RKPANL!B:D,2,0)</f>
        <v>#N/A</v>
      </c>
      <c r="L26" s="800">
        <f>RAB!L24</f>
        <v>5000000</v>
      </c>
      <c r="M26" s="1061">
        <f t="shared" si="2"/>
        <v>5000000</v>
      </c>
      <c r="N26" s="800"/>
      <c r="O26" s="1126">
        <v>1</v>
      </c>
      <c r="P26" s="800">
        <f t="shared" si="0"/>
        <v>5000000</v>
      </c>
      <c r="Q26" s="1068">
        <f t="shared" si="1"/>
        <v>0</v>
      </c>
    </row>
    <row r="27" spans="2:17" outlineLevel="1">
      <c r="B27" s="793"/>
      <c r="C27" s="802"/>
      <c r="D27" s="794"/>
      <c r="E27" s="795"/>
      <c r="F27" s="795"/>
      <c r="G27" s="796"/>
      <c r="H27" s="797"/>
      <c r="I27" s="798"/>
      <c r="J27" s="798"/>
      <c r="K27" s="806"/>
      <c r="L27" s="800"/>
      <c r="M27" s="1061"/>
      <c r="N27" s="800"/>
      <c r="O27" s="806"/>
      <c r="P27" s="800"/>
      <c r="Q27" s="1068"/>
    </row>
    <row r="28" spans="2:17" s="1098" customFormat="1" ht="21.6" customHeight="1">
      <c r="B28" s="1102"/>
      <c r="C28" s="1103"/>
      <c r="D28" s="1103"/>
      <c r="E28" s="1103"/>
      <c r="F28" s="1103"/>
      <c r="G28" s="1103"/>
      <c r="H28" s="1104"/>
      <c r="I28" s="1103"/>
      <c r="J28" s="1103"/>
      <c r="K28" s="1272" t="s">
        <v>361</v>
      </c>
      <c r="L28" s="1272"/>
      <c r="M28" s="1105"/>
      <c r="N28" s="1106">
        <f>SUM(M18:M26)</f>
        <v>24825000</v>
      </c>
      <c r="O28" s="1107"/>
      <c r="P28" s="1106">
        <f>SUM(P18:P27)</f>
        <v>24825000</v>
      </c>
      <c r="Q28" s="1186">
        <f>SUM(Q18:Q27)</f>
        <v>0</v>
      </c>
    </row>
    <row r="29" spans="2:17" ht="15.6">
      <c r="B29" s="851" t="s">
        <v>153</v>
      </c>
      <c r="C29" s="1185" t="s">
        <v>350</v>
      </c>
      <c r="E29" s="875"/>
      <c r="F29" s="795"/>
      <c r="G29" s="796"/>
      <c r="H29" s="797"/>
      <c r="I29" s="798"/>
      <c r="J29" s="798"/>
      <c r="K29" s="876"/>
      <c r="L29" s="877"/>
      <c r="M29" s="1060"/>
      <c r="N29" s="877"/>
      <c r="O29" s="882"/>
      <c r="P29" s="877"/>
      <c r="Q29" s="1067"/>
    </row>
    <row r="30" spans="2:17" ht="15.6" outlineLevel="1">
      <c r="B30" s="880"/>
      <c r="C30" s="1187" t="s">
        <v>2</v>
      </c>
      <c r="D30" s="696" t="s">
        <v>351</v>
      </c>
      <c r="E30" s="875"/>
      <c r="F30" s="795"/>
      <c r="G30" s="796"/>
      <c r="H30" s="797"/>
      <c r="I30" s="798"/>
      <c r="J30" s="798"/>
      <c r="K30" s="882"/>
      <c r="L30" s="877"/>
      <c r="M30" s="1060"/>
      <c r="N30" s="877"/>
      <c r="O30" s="882"/>
      <c r="P30" s="877"/>
      <c r="Q30" s="1067"/>
    </row>
    <row r="31" spans="2:17" ht="15.6" outlineLevel="2">
      <c r="B31" s="793"/>
      <c r="C31" s="811"/>
      <c r="D31" s="794">
        <v>1</v>
      </c>
      <c r="E31" s="812" t="s">
        <v>895</v>
      </c>
      <c r="F31" s="812"/>
      <c r="G31" s="813"/>
      <c r="H31" s="797">
        <f>RAB!H29</f>
        <v>6400</v>
      </c>
      <c r="I31" s="797" t="str">
        <f>RAB!I29</f>
        <v>M2</v>
      </c>
      <c r="J31" s="797" t="str">
        <f>RAB!J29</f>
        <v>Hit. BKR. 01</v>
      </c>
      <c r="K31" s="804" t="str">
        <f>VLOOKUP(J31,RKPANL!B:D,2,0)</f>
        <v>Bongkaran Paving Lama</v>
      </c>
      <c r="L31" s="800">
        <v>10000</v>
      </c>
      <c r="M31" s="1061">
        <f t="shared" ref="M31:M36" si="3">L31*H31</f>
        <v>64000000</v>
      </c>
      <c r="N31" s="800"/>
      <c r="O31" s="1126">
        <v>1</v>
      </c>
      <c r="P31" s="800">
        <f t="shared" ref="P31:P36" si="4">M31*O31</f>
        <v>64000000</v>
      </c>
      <c r="Q31" s="1068">
        <f t="shared" ref="Q31:Q36" si="5">M31-P31</f>
        <v>0</v>
      </c>
    </row>
    <row r="32" spans="2:17" outlineLevel="2">
      <c r="B32" s="814"/>
      <c r="C32" s="1188"/>
      <c r="D32" s="816">
        <v>2</v>
      </c>
      <c r="E32" s="795" t="s">
        <v>455</v>
      </c>
      <c r="F32" s="795"/>
      <c r="G32" s="796"/>
      <c r="H32" s="797">
        <f>RAB!H30</f>
        <v>640</v>
      </c>
      <c r="I32" s="797" t="str">
        <f>RAB!I30</f>
        <v>M3</v>
      </c>
      <c r="J32" s="797" t="str">
        <f>RAB!J30</f>
        <v>A.2.3.1.10.</v>
      </c>
      <c r="K32" s="804" t="str">
        <f>VLOOKUP(J32,RKPANL!B:D,2,0)</f>
        <v>Pengurugan 1 m3 dengan Tanah urug</v>
      </c>
      <c r="L32" s="800">
        <f>VLOOKUP(J32,RKPANL!B:D,3,0)</f>
        <v>209587.5</v>
      </c>
      <c r="M32" s="1061">
        <f t="shared" si="3"/>
        <v>134136000</v>
      </c>
      <c r="N32" s="800"/>
      <c r="O32" s="1126">
        <v>1</v>
      </c>
      <c r="P32" s="800">
        <f t="shared" si="4"/>
        <v>134136000</v>
      </c>
      <c r="Q32" s="1068">
        <f t="shared" si="5"/>
        <v>0</v>
      </c>
    </row>
    <row r="33" spans="2:17" ht="15.6" outlineLevel="2">
      <c r="B33" s="793"/>
      <c r="C33" s="811"/>
      <c r="D33" s="794">
        <v>3</v>
      </c>
      <c r="E33" s="812" t="s">
        <v>366</v>
      </c>
      <c r="F33" s="812"/>
      <c r="G33" s="813"/>
      <c r="H33" s="797">
        <f>RAB!H31</f>
        <v>323.07499999999999</v>
      </c>
      <c r="I33" s="797" t="str">
        <f>RAB!I31</f>
        <v>M3</v>
      </c>
      <c r="J33" s="797" t="str">
        <f>RAB!J31</f>
        <v>A.2.3.1.11.</v>
      </c>
      <c r="K33" s="804" t="str">
        <f>VLOOKUP(J33,RKPANL!B:D,2,0)</f>
        <v>Pengurugan 1 m3 dengan pasir urug</v>
      </c>
      <c r="L33" s="800">
        <f>VLOOKUP(J33,RKPANL!B:D,3,0)</f>
        <v>209587.5</v>
      </c>
      <c r="M33" s="1061">
        <f t="shared" si="3"/>
        <v>67712481.5625</v>
      </c>
      <c r="N33" s="800"/>
      <c r="O33" s="1126">
        <v>1</v>
      </c>
      <c r="P33" s="800">
        <f t="shared" si="4"/>
        <v>67712481.5625</v>
      </c>
      <c r="Q33" s="1068">
        <f t="shared" si="5"/>
        <v>0</v>
      </c>
    </row>
    <row r="34" spans="2:17" ht="15.6" outlineLevel="2">
      <c r="B34" s="793"/>
      <c r="C34" s="811"/>
      <c r="D34" s="816">
        <v>4</v>
      </c>
      <c r="E34" s="812" t="s">
        <v>901</v>
      </c>
      <c r="F34" s="812"/>
      <c r="G34" s="813"/>
      <c r="H34" s="797">
        <f>RAB!H32</f>
        <v>3840</v>
      </c>
      <c r="I34" s="797" t="str">
        <f>RAB!I32</f>
        <v>M2</v>
      </c>
      <c r="J34" s="797" t="str">
        <f>RAB!J32</f>
        <v>A.4.4.3.63.</v>
      </c>
      <c r="K34" s="804" t="str">
        <f>VLOOKUP(J34,RKPANL!B:D,2,0)</f>
        <v>Pemasangan 1 m2 Paving Block (Blok Beton) Natural tebal 6cm</v>
      </c>
      <c r="L34" s="800">
        <f>VLOOKUP(J34,RKPANL!B:D,3,0)</f>
        <v>249383.25</v>
      </c>
      <c r="M34" s="1061">
        <f t="shared" si="3"/>
        <v>957631680</v>
      </c>
      <c r="N34" s="800"/>
      <c r="O34" s="1126">
        <v>0.97</v>
      </c>
      <c r="P34" s="800">
        <f t="shared" si="4"/>
        <v>928902729.60000002</v>
      </c>
      <c r="Q34" s="1068">
        <f t="shared" si="5"/>
        <v>28728950.399999976</v>
      </c>
    </row>
    <row r="35" spans="2:17" ht="15.6" outlineLevel="2">
      <c r="B35" s="793"/>
      <c r="C35" s="811"/>
      <c r="D35" s="794">
        <v>5</v>
      </c>
      <c r="E35" s="812" t="s">
        <v>902</v>
      </c>
      <c r="F35" s="812"/>
      <c r="G35" s="813"/>
      <c r="H35" s="797">
        <f>RAB!H33</f>
        <v>2560</v>
      </c>
      <c r="I35" s="797" t="str">
        <f>RAB!I33</f>
        <v>M2</v>
      </c>
      <c r="J35" s="797" t="str">
        <f>RAB!J33</f>
        <v>A.4.4.3.63.A</v>
      </c>
      <c r="K35" s="804" t="str">
        <f>VLOOKUP(J35,RKPANL!B:D,2,0)</f>
        <v>Bongkar Pasang 1 m2 Paving Block Lama</v>
      </c>
      <c r="L35" s="800">
        <f>VLOOKUP(J35,RKPANL!B:D,3,0)</f>
        <v>145236.375</v>
      </c>
      <c r="M35" s="1061">
        <f t="shared" si="3"/>
        <v>371805120</v>
      </c>
      <c r="N35" s="800"/>
      <c r="O35" s="1126">
        <v>1</v>
      </c>
      <c r="P35" s="800">
        <f t="shared" si="4"/>
        <v>371805120</v>
      </c>
      <c r="Q35" s="1068">
        <f t="shared" si="5"/>
        <v>0</v>
      </c>
    </row>
    <row r="36" spans="2:17" ht="15.6" outlineLevel="2">
      <c r="B36" s="793"/>
      <c r="C36" s="811"/>
      <c r="D36" s="794">
        <v>6</v>
      </c>
      <c r="E36" s="812" t="s">
        <v>367</v>
      </c>
      <c r="F36" s="812"/>
      <c r="G36" s="813"/>
      <c r="H36" s="797">
        <f>RAB!H34</f>
        <v>6.15</v>
      </c>
      <c r="I36" s="797" t="str">
        <f>RAB!I34</f>
        <v>M3</v>
      </c>
      <c r="J36" s="797" t="str">
        <f>RAB!J34</f>
        <v>A.4.1.1.4</v>
      </c>
      <c r="K36" s="804" t="str">
        <f>VLOOKUP(J36,RKPANL!B:D,2,0)</f>
        <v>Membuat 1 m3 lantai kerja beton mutu f’c = 7,4 MPa slump (3-6)
cm, w/c = 0,87</v>
      </c>
      <c r="L36" s="800">
        <f>VLOOKUP(J36,RKPANL!B:D,3,0)</f>
        <v>1190340.357142857</v>
      </c>
      <c r="M36" s="1061">
        <f t="shared" si="3"/>
        <v>7320593.1964285709</v>
      </c>
      <c r="N36" s="800"/>
      <c r="O36" s="1126">
        <v>0.96860000000000002</v>
      </c>
      <c r="P36" s="800">
        <f t="shared" si="4"/>
        <v>7090726.5700607141</v>
      </c>
      <c r="Q36" s="1068">
        <f t="shared" si="5"/>
        <v>229866.62636785675</v>
      </c>
    </row>
    <row r="37" spans="2:17" outlineLevel="2">
      <c r="B37" s="793"/>
      <c r="C37" s="802"/>
      <c r="D37" s="794"/>
      <c r="E37" s="795"/>
      <c r="F37" s="795"/>
      <c r="G37" s="796"/>
      <c r="H37" s="797"/>
      <c r="I37" s="798"/>
      <c r="J37" s="798"/>
      <c r="K37" s="806"/>
      <c r="L37" s="800"/>
      <c r="M37" s="1061"/>
      <c r="N37" s="800"/>
      <c r="O37" s="806"/>
      <c r="P37" s="800"/>
      <c r="Q37" s="1068"/>
    </row>
    <row r="38" spans="2:17" ht="15.6" outlineLevel="1">
      <c r="B38" s="1093"/>
      <c r="C38" s="1094"/>
      <c r="D38" s="1094"/>
      <c r="E38" s="1094"/>
      <c r="F38" s="1094"/>
      <c r="G38" s="1094"/>
      <c r="H38" s="1095"/>
      <c r="I38" s="1094"/>
      <c r="J38" s="1094"/>
      <c r="K38" s="1095"/>
      <c r="L38" s="1099"/>
      <c r="M38" s="1100" t="s">
        <v>44</v>
      </c>
      <c r="N38" s="1096">
        <f>SUM(M31:M36)</f>
        <v>1602605874.7589285</v>
      </c>
      <c r="O38" s="1097"/>
      <c r="P38" s="1096">
        <f>SUM(P31:P37)</f>
        <v>1573647057.7325606</v>
      </c>
      <c r="Q38" s="1101">
        <f>SUM(Q31:Q37)</f>
        <v>28958817.026367832</v>
      </c>
    </row>
    <row r="39" spans="2:17" ht="15.6" outlineLevel="1">
      <c r="B39" s="880"/>
      <c r="C39" s="1187" t="s">
        <v>16</v>
      </c>
      <c r="D39" s="696" t="s">
        <v>454</v>
      </c>
      <c r="E39" s="875"/>
      <c r="F39" s="795"/>
      <c r="G39" s="796"/>
      <c r="H39" s="797"/>
      <c r="I39" s="798"/>
      <c r="J39" s="798"/>
      <c r="K39" s="882"/>
      <c r="L39" s="877"/>
      <c r="M39" s="1060"/>
      <c r="N39" s="877"/>
      <c r="O39" s="882"/>
      <c r="P39" s="877"/>
      <c r="Q39" s="1067"/>
    </row>
    <row r="40" spans="2:17" outlineLevel="2">
      <c r="B40" s="814"/>
      <c r="C40" s="1188"/>
      <c r="D40" s="794">
        <v>1</v>
      </c>
      <c r="E40" s="795" t="s">
        <v>393</v>
      </c>
      <c r="F40" s="795"/>
      <c r="G40" s="796"/>
      <c r="H40" s="797">
        <f>RAB!H38</f>
        <v>20.5</v>
      </c>
      <c r="I40" s="797" t="str">
        <f>RAB!I38</f>
        <v>M3</v>
      </c>
      <c r="J40" s="797" t="str">
        <f>RAB!J38</f>
        <v>A.2.3.1.1.</v>
      </c>
      <c r="K40" s="804" t="str">
        <f>VLOOKUP(J40,RKPANL!B:D,2,0)</f>
        <v>Penggalian 1 m3  tanah biasa sedalam 1 m</v>
      </c>
      <c r="L40" s="800">
        <f>VLOOKUP(J40,RKPANL!B:D,3,0)</f>
        <v>109968.75</v>
      </c>
      <c r="M40" s="1061">
        <f>L40*H40</f>
        <v>2254359.375</v>
      </c>
      <c r="N40" s="800"/>
      <c r="O40" s="1126">
        <v>1</v>
      </c>
      <c r="P40" s="800">
        <f>M40*O40</f>
        <v>2254359.375</v>
      </c>
      <c r="Q40" s="1068">
        <f>M40-P40</f>
        <v>0</v>
      </c>
    </row>
    <row r="41" spans="2:17" ht="15.6" outlineLevel="2">
      <c r="B41" s="814"/>
      <c r="C41" s="1188"/>
      <c r="D41" s="816">
        <v>2</v>
      </c>
      <c r="E41" s="812" t="s">
        <v>893</v>
      </c>
      <c r="F41" s="812"/>
      <c r="G41" s="813"/>
      <c r="H41" s="797">
        <f>RAB!H39</f>
        <v>3.0750000000000002</v>
      </c>
      <c r="I41" s="797" t="str">
        <f>RAB!I39</f>
        <v>M3</v>
      </c>
      <c r="J41" s="797" t="str">
        <f>RAB!J39</f>
        <v>A.4.1.1.4</v>
      </c>
      <c r="K41" s="804" t="str">
        <f>VLOOKUP(J41,RKPANL!B:D,2,0)</f>
        <v>Membuat 1 m3 lantai kerja beton mutu f’c = 7,4 MPa slump (3-6)
cm, w/c = 0,87</v>
      </c>
      <c r="L41" s="800">
        <f>VLOOKUP(J41,RKPANL!B:D,3,0)</f>
        <v>1190340.357142857</v>
      </c>
      <c r="M41" s="1061">
        <f>L41*H41</f>
        <v>3660296.5982142854</v>
      </c>
      <c r="N41" s="800"/>
      <c r="O41" s="1126">
        <v>0.96860000000000002</v>
      </c>
      <c r="P41" s="800">
        <f>M41*O41</f>
        <v>3545363.2850303571</v>
      </c>
      <c r="Q41" s="1068">
        <f>M41-P41</f>
        <v>114933.31318392837</v>
      </c>
    </row>
    <row r="42" spans="2:17" ht="15.6" outlineLevel="2">
      <c r="B42" s="814"/>
      <c r="C42" s="1188"/>
      <c r="D42" s="794">
        <v>3</v>
      </c>
      <c r="E42" s="812" t="s">
        <v>372</v>
      </c>
      <c r="F42" s="812"/>
      <c r="G42" s="813"/>
      <c r="H42" s="797">
        <f>RAB!H40</f>
        <v>45</v>
      </c>
      <c r="I42" s="797" t="str">
        <f>RAB!I40</f>
        <v>M2</v>
      </c>
      <c r="J42" s="797" t="str">
        <f>RAB!J40</f>
        <v>A.4.1.1.11.</v>
      </c>
      <c r="K42" s="804" t="str">
        <f>VLOOKUP(J42,RKPANL!B:D,2,0)</f>
        <v>Membuat 1 m3 beton mutu f’c = 14,5 Mpa (K175)</v>
      </c>
      <c r="L42" s="800">
        <f>VLOOKUP(J42,RKPANL!B:D,3,0)</f>
        <v>1342419.010989011</v>
      </c>
      <c r="M42" s="1061">
        <f>L42*H42</f>
        <v>60408855.494505495</v>
      </c>
      <c r="N42" s="800"/>
      <c r="O42" s="1126">
        <v>0.98499999999999999</v>
      </c>
      <c r="P42" s="800">
        <f>M42*O42</f>
        <v>59502722.66208791</v>
      </c>
      <c r="Q42" s="1068">
        <f>M42-P42</f>
        <v>906132.83241758496</v>
      </c>
    </row>
    <row r="43" spans="2:17" ht="15.6" outlineLevel="2">
      <c r="B43" s="814"/>
      <c r="C43" s="1188"/>
      <c r="D43" s="816">
        <v>4</v>
      </c>
      <c r="E43" s="812" t="s">
        <v>365</v>
      </c>
      <c r="F43" s="812"/>
      <c r="G43" s="813"/>
      <c r="H43" s="797">
        <f>RAB!H41</f>
        <v>81.999999999999986</v>
      </c>
      <c r="I43" s="797" t="str">
        <f>RAB!I41</f>
        <v>M2</v>
      </c>
      <c r="J43" s="797" t="str">
        <f>RAB!J41</f>
        <v>A.4.4.2.4.</v>
      </c>
      <c r="K43" s="804" t="str">
        <f>VLOOKUP(J43,RKPANL!B:D,2,0)</f>
        <v>Pemasangan 1 m2 plesteran 1SP : 4PP tebal 15 mm</v>
      </c>
      <c r="L43" s="800">
        <f>VLOOKUP(J43,RKPANL!B:D,3,0)</f>
        <v>92152.95</v>
      </c>
      <c r="M43" s="1061">
        <f>L43*H43</f>
        <v>7556541.8999999985</v>
      </c>
      <c r="N43" s="800"/>
      <c r="O43" s="1126">
        <v>0.99009999999999998</v>
      </c>
      <c r="P43" s="800">
        <f>M43*O43</f>
        <v>7481732.135189998</v>
      </c>
      <c r="Q43" s="1068">
        <f>M43-P43</f>
        <v>74809.764810000546</v>
      </c>
    </row>
    <row r="44" spans="2:17" ht="15.6" outlineLevel="2">
      <c r="B44" s="793"/>
      <c r="C44" s="802"/>
      <c r="D44" s="794">
        <v>5</v>
      </c>
      <c r="E44" s="795" t="s">
        <v>894</v>
      </c>
      <c r="F44" s="795"/>
      <c r="G44" s="817"/>
      <c r="H44" s="797">
        <f>RAB!H42</f>
        <v>81.999999999999986</v>
      </c>
      <c r="I44" s="797" t="str">
        <f>RAB!I42</f>
        <v>M2</v>
      </c>
      <c r="J44" s="797" t="str">
        <f>RAB!J42</f>
        <v>A.4.7.1.10.</v>
      </c>
      <c r="K44" s="804" t="str">
        <f>VLOOKUP(J44,RKPANL!B:D,2,0)</f>
        <v>Pengecatan 1 m2 tembok baru (1 lapis plamuur, 1 lapis cat dasar, 2
lapis cat penutup)</v>
      </c>
      <c r="L44" s="800">
        <f>VLOOKUP(J44,RKPANL!B:D,3,0)</f>
        <v>55114.9</v>
      </c>
      <c r="M44" s="1061">
        <f>L44*H44</f>
        <v>4519421.7999999989</v>
      </c>
      <c r="N44" s="800"/>
      <c r="O44" s="1126">
        <v>0.82769999999999999</v>
      </c>
      <c r="P44" s="800">
        <f>M44*O44</f>
        <v>3740725.423859999</v>
      </c>
      <c r="Q44" s="1068">
        <f>M44-P44</f>
        <v>778696.37613999983</v>
      </c>
    </row>
    <row r="45" spans="2:17" outlineLevel="2">
      <c r="B45" s="814"/>
      <c r="C45" s="1188"/>
      <c r="D45" s="794"/>
      <c r="E45" s="795"/>
      <c r="F45" s="795"/>
      <c r="G45" s="796"/>
      <c r="H45" s="797"/>
      <c r="I45" s="798"/>
      <c r="J45" s="798"/>
      <c r="K45" s="806"/>
      <c r="L45" s="800"/>
      <c r="M45" s="1061"/>
      <c r="N45" s="800"/>
      <c r="O45" s="806"/>
      <c r="P45" s="800"/>
      <c r="Q45" s="1068"/>
    </row>
    <row r="46" spans="2:17" ht="15.6" outlineLevel="1">
      <c r="B46" s="1093"/>
      <c r="C46" s="1094"/>
      <c r="D46" s="1094"/>
      <c r="E46" s="1094"/>
      <c r="F46" s="1094"/>
      <c r="G46" s="1094"/>
      <c r="H46" s="1095"/>
      <c r="I46" s="1094"/>
      <c r="J46" s="1094"/>
      <c r="K46" s="1095"/>
      <c r="L46" s="1099"/>
      <c r="M46" s="1100" t="s">
        <v>45</v>
      </c>
      <c r="N46" s="1096">
        <f>SUM(M40:M44)</f>
        <v>78399475.167719766</v>
      </c>
      <c r="O46" s="1097"/>
      <c r="P46" s="1096">
        <f>SUM(P39:P45)</f>
        <v>76524902.881168261</v>
      </c>
      <c r="Q46" s="1101">
        <f>SUM(Q40:Q45)</f>
        <v>1874572.2865515137</v>
      </c>
    </row>
    <row r="47" spans="2:17" s="1098" customFormat="1" ht="21.6" customHeight="1">
      <c r="B47" s="1102"/>
      <c r="C47" s="1103"/>
      <c r="D47" s="1103"/>
      <c r="E47" s="1103"/>
      <c r="F47" s="1103"/>
      <c r="G47" s="1103"/>
      <c r="H47" s="1104"/>
      <c r="I47" s="1103"/>
      <c r="J47" s="1103"/>
      <c r="K47" s="1272" t="s">
        <v>354</v>
      </c>
      <c r="L47" s="1272"/>
      <c r="M47" s="1105"/>
      <c r="N47" s="1106">
        <f>SUM(N29:N46)</f>
        <v>1681005349.9266484</v>
      </c>
      <c r="O47" s="1107"/>
      <c r="P47" s="1106">
        <f>SUM(P30:P46)/2</f>
        <v>1650171960.613729</v>
      </c>
      <c r="Q47" s="1186">
        <f>SUM(Q30:Q46)/2</f>
        <v>30833389.312919345</v>
      </c>
    </row>
    <row r="48" spans="2:17" ht="15.6">
      <c r="B48" s="851" t="s">
        <v>157</v>
      </c>
      <c r="C48" s="1185" t="s">
        <v>703</v>
      </c>
      <c r="E48" s="875"/>
      <c r="F48" s="795"/>
      <c r="G48" s="796"/>
      <c r="H48" s="797"/>
      <c r="I48" s="798"/>
      <c r="J48" s="798"/>
      <c r="K48" s="876"/>
      <c r="L48" s="877"/>
      <c r="M48" s="1060"/>
      <c r="N48" s="877"/>
      <c r="O48" s="882"/>
      <c r="P48" s="877"/>
      <c r="Q48" s="1067"/>
    </row>
    <row r="49" spans="2:17" ht="15.6" outlineLevel="1">
      <c r="B49" s="880"/>
      <c r="C49" s="1187" t="s">
        <v>2</v>
      </c>
      <c r="D49" s="696" t="s">
        <v>787</v>
      </c>
      <c r="E49" s="875"/>
      <c r="F49" s="795"/>
      <c r="G49" s="796"/>
      <c r="H49" s="797"/>
      <c r="I49" s="798"/>
      <c r="J49" s="798"/>
      <c r="K49" s="882"/>
      <c r="L49" s="877"/>
      <c r="M49" s="1060"/>
      <c r="N49" s="877"/>
      <c r="O49" s="891"/>
      <c r="P49" s="877"/>
      <c r="Q49" s="1067"/>
    </row>
    <row r="50" spans="2:17" outlineLevel="2">
      <c r="B50" s="814"/>
      <c r="C50" s="1188"/>
      <c r="D50" s="794">
        <v>1</v>
      </c>
      <c r="E50" s="795" t="s">
        <v>450</v>
      </c>
      <c r="F50" s="795"/>
      <c r="G50" s="796"/>
      <c r="H50" s="797">
        <f>RAB!H48</f>
        <v>78</v>
      </c>
      <c r="I50" s="797" t="str">
        <f>RAB!I48</f>
        <v>M3</v>
      </c>
      <c r="J50" s="797" t="str">
        <f>RAB!J48</f>
        <v>A.2.3.1.1.</v>
      </c>
      <c r="K50" s="804" t="str">
        <f>VLOOKUP(J50,RKPANL!B:D,2,0)</f>
        <v>Penggalian 1 m3  tanah biasa sedalam 1 m</v>
      </c>
      <c r="L50" s="800">
        <f>VLOOKUP(J50,RKPANL!B:D,3,0)</f>
        <v>109968.75</v>
      </c>
      <c r="M50" s="1061">
        <f t="shared" ref="M50:M54" si="6">L50*H50</f>
        <v>8577562.5</v>
      </c>
      <c r="N50" s="800"/>
      <c r="O50" s="1127">
        <v>1</v>
      </c>
      <c r="P50" s="800">
        <f>M50*O50</f>
        <v>8577562.5</v>
      </c>
      <c r="Q50" s="1068">
        <f>M50-P50</f>
        <v>0</v>
      </c>
    </row>
    <row r="51" spans="2:17" ht="15.6" outlineLevel="2">
      <c r="B51" s="793"/>
      <c r="C51" s="811"/>
      <c r="D51" s="816">
        <v>2</v>
      </c>
      <c r="E51" s="812" t="s">
        <v>366</v>
      </c>
      <c r="F51" s="812"/>
      <c r="G51" s="813"/>
      <c r="H51" s="797">
        <f>RAB!H49</f>
        <v>6</v>
      </c>
      <c r="I51" s="797" t="str">
        <f>RAB!I49</f>
        <v>M3</v>
      </c>
      <c r="J51" s="797" t="str">
        <f>RAB!J49</f>
        <v>A.2.3.1.11.</v>
      </c>
      <c r="K51" s="804" t="str">
        <f>VLOOKUP(J51,RKPANL!B:D,2,0)</f>
        <v>Pengurugan 1 m3 dengan pasir urug</v>
      </c>
      <c r="L51" s="800">
        <f>VLOOKUP(J51,RKPANL!B:D,3,0)</f>
        <v>209587.5</v>
      </c>
      <c r="M51" s="1061">
        <f t="shared" si="6"/>
        <v>1257525</v>
      </c>
      <c r="N51" s="800"/>
      <c r="O51" s="1127">
        <v>1</v>
      </c>
      <c r="P51" s="800">
        <f>M51*O51</f>
        <v>1257525</v>
      </c>
      <c r="Q51" s="1068">
        <f>M51-P51</f>
        <v>0</v>
      </c>
    </row>
    <row r="52" spans="2:17" ht="15.6" outlineLevel="2">
      <c r="B52" s="793"/>
      <c r="C52" s="811"/>
      <c r="D52" s="794">
        <v>3</v>
      </c>
      <c r="E52" s="812" t="s">
        <v>893</v>
      </c>
      <c r="F52" s="812"/>
      <c r="G52" s="813"/>
      <c r="H52" s="797">
        <f>RAB!H50</f>
        <v>1.8</v>
      </c>
      <c r="I52" s="797" t="str">
        <f>RAB!I50</f>
        <v>M3</v>
      </c>
      <c r="J52" s="797" t="str">
        <f>RAB!J50</f>
        <v>A.4.1.1.4</v>
      </c>
      <c r="K52" s="804" t="str">
        <f>VLOOKUP(J52,RKPANL!B:D,2,0)</f>
        <v>Membuat 1 m3 lantai kerja beton mutu f’c = 7,4 MPa slump (3-6)
cm, w/c = 0,87</v>
      </c>
      <c r="L52" s="800">
        <f>VLOOKUP(J52,RKPANL!B:D,3,0)</f>
        <v>1190340.357142857</v>
      </c>
      <c r="M52" s="1061">
        <f t="shared" si="6"/>
        <v>2142612.6428571427</v>
      </c>
      <c r="N52" s="800"/>
      <c r="O52" s="1127">
        <v>0.96860000000000002</v>
      </c>
      <c r="P52" s="800">
        <f>M52*O52</f>
        <v>2075334.6058714285</v>
      </c>
      <c r="Q52" s="1068">
        <f>M52-P52</f>
        <v>67278.036985714221</v>
      </c>
    </row>
    <row r="53" spans="2:17" ht="15.6" outlineLevel="2">
      <c r="B53" s="793"/>
      <c r="C53" s="811"/>
      <c r="D53" s="816">
        <v>4</v>
      </c>
      <c r="E53" s="812" t="s">
        <v>903</v>
      </c>
      <c r="F53" s="812"/>
      <c r="G53" s="813"/>
      <c r="H53" s="797">
        <f>RAB!H51</f>
        <v>100</v>
      </c>
      <c r="I53" s="797" t="str">
        <f>RAB!I51</f>
        <v>Bh</v>
      </c>
      <c r="J53" s="797" t="str">
        <f>RAB!J51</f>
        <v>Hit.DRN.2.01</v>
      </c>
      <c r="K53" s="804" t="str">
        <f>VLOOKUP(J53,RKPANL!B:D,2,0)</f>
        <v>Pemasangan U-Ditch 30x50x120cm - K350</v>
      </c>
      <c r="L53" s="800">
        <f>VLOOKUP(J53,RKPANL!B:D,3,0)</f>
        <v>948428</v>
      </c>
      <c r="M53" s="1061">
        <f t="shared" si="6"/>
        <v>94842800</v>
      </c>
      <c r="N53" s="800"/>
      <c r="O53" s="1127">
        <v>0.95899999999999996</v>
      </c>
      <c r="P53" s="800">
        <f>M53*O53</f>
        <v>90954245.200000003</v>
      </c>
      <c r="Q53" s="1068">
        <f>M53-P53</f>
        <v>3888554.799999997</v>
      </c>
    </row>
    <row r="54" spans="2:17" ht="15.6" outlineLevel="2">
      <c r="B54" s="793"/>
      <c r="C54" s="811"/>
      <c r="D54" s="794">
        <v>5</v>
      </c>
      <c r="E54" s="812" t="s">
        <v>904</v>
      </c>
      <c r="F54" s="812"/>
      <c r="G54" s="813"/>
      <c r="H54" s="797">
        <f>RAB!H52</f>
        <v>200</v>
      </c>
      <c r="I54" s="797" t="str">
        <f>RAB!I52</f>
        <v>Bh</v>
      </c>
      <c r="J54" s="797" t="str">
        <f>RAB!J52</f>
        <v>Hit.DRN.3.01</v>
      </c>
      <c r="K54" s="804" t="str">
        <f>VLOOKUP(J54,RKPANL!B:D,2,0)</f>
        <v>Pemasangan Penutup U-Ditch 30x60cm - K350</v>
      </c>
      <c r="L54" s="800">
        <f>VLOOKUP(J54,RKPANL!B:D,3,0)</f>
        <v>230805</v>
      </c>
      <c r="M54" s="1061">
        <f t="shared" si="6"/>
        <v>46161000</v>
      </c>
      <c r="N54" s="800"/>
      <c r="O54" s="1127">
        <v>0.95899999999999996</v>
      </c>
      <c r="P54" s="800">
        <f>M54*O54</f>
        <v>44268399</v>
      </c>
      <c r="Q54" s="1068">
        <f>M54-P54</f>
        <v>1892601</v>
      </c>
    </row>
    <row r="55" spans="2:17" outlineLevel="2">
      <c r="B55" s="793"/>
      <c r="C55" s="802"/>
      <c r="D55" s="794"/>
      <c r="E55" s="795"/>
      <c r="F55" s="795"/>
      <c r="G55" s="796"/>
      <c r="H55" s="797"/>
      <c r="I55" s="798"/>
      <c r="J55" s="798"/>
      <c r="K55" s="806"/>
      <c r="L55" s="800"/>
      <c r="M55" s="1061"/>
      <c r="N55" s="800"/>
      <c r="O55" s="841"/>
      <c r="P55" s="800"/>
      <c r="Q55" s="1068"/>
    </row>
    <row r="56" spans="2:17" ht="15.6" outlineLevel="1">
      <c r="B56" s="1093"/>
      <c r="C56" s="1094"/>
      <c r="D56" s="1094"/>
      <c r="E56" s="1094"/>
      <c r="F56" s="1094"/>
      <c r="G56" s="1094"/>
      <c r="H56" s="1095"/>
      <c r="I56" s="1094"/>
      <c r="J56" s="1094"/>
      <c r="K56" s="1095"/>
      <c r="L56" s="1099"/>
      <c r="M56" s="1100" t="s">
        <v>44</v>
      </c>
      <c r="N56" s="1096">
        <f>SUM(M50:M54)</f>
        <v>152981500.14285713</v>
      </c>
      <c r="O56" s="1123"/>
      <c r="P56" s="1096">
        <f>SUM(P50:P55)</f>
        <v>147133066.30587143</v>
      </c>
      <c r="Q56" s="1101">
        <f>SUM(Q50:Q55)</f>
        <v>5848433.836985711</v>
      </c>
    </row>
    <row r="57" spans="2:17" s="886" customFormat="1" ht="15.6" outlineLevel="1">
      <c r="B57" s="887"/>
      <c r="C57" s="1189" t="s">
        <v>16</v>
      </c>
      <c r="D57" s="889" t="s">
        <v>788</v>
      </c>
      <c r="E57" s="890"/>
      <c r="F57" s="826"/>
      <c r="G57" s="827"/>
      <c r="H57" s="828"/>
      <c r="I57" s="829"/>
      <c r="J57" s="829"/>
      <c r="K57" s="891"/>
      <c r="L57" s="892"/>
      <c r="M57" s="1062"/>
      <c r="N57" s="892"/>
      <c r="O57" s="895"/>
      <c r="P57" s="892"/>
      <c r="Q57" s="1069"/>
    </row>
    <row r="58" spans="2:17" s="886" customFormat="1" outlineLevel="2">
      <c r="B58" s="823"/>
      <c r="C58" s="1190"/>
      <c r="D58" s="825">
        <v>1</v>
      </c>
      <c r="E58" s="826" t="s">
        <v>450</v>
      </c>
      <c r="F58" s="826"/>
      <c r="G58" s="827"/>
      <c r="H58" s="797">
        <f>RAB!H56</f>
        <v>52</v>
      </c>
      <c r="I58" s="797" t="str">
        <f>RAB!I56</f>
        <v>M3</v>
      </c>
      <c r="J58" s="797" t="str">
        <f>RAB!J56</f>
        <v>A.2.3.1.1.</v>
      </c>
      <c r="K58" s="804" t="str">
        <f>VLOOKUP(J58,RKPANL!B:D,2,0)</f>
        <v>Penggalian 1 m3  tanah biasa sedalam 1 m</v>
      </c>
      <c r="L58" s="800">
        <f>VLOOKUP(J58,RKPANL!B:D,3,0)</f>
        <v>109968.75</v>
      </c>
      <c r="M58" s="1063">
        <f t="shared" ref="M58:M62" si="7">L58*H58</f>
        <v>5718375</v>
      </c>
      <c r="N58" s="838"/>
      <c r="O58" s="1127">
        <v>1</v>
      </c>
      <c r="P58" s="800">
        <f>M58*O58</f>
        <v>5718375</v>
      </c>
      <c r="Q58" s="1068">
        <f>M58-P58</f>
        <v>0</v>
      </c>
    </row>
    <row r="59" spans="2:17" s="886" customFormat="1" ht="15.6" outlineLevel="2">
      <c r="B59" s="831"/>
      <c r="C59" s="832"/>
      <c r="D59" s="833">
        <v>2</v>
      </c>
      <c r="E59" s="834" t="s">
        <v>366</v>
      </c>
      <c r="F59" s="834"/>
      <c r="G59" s="835"/>
      <c r="H59" s="797">
        <f>RAB!H57</f>
        <v>4</v>
      </c>
      <c r="I59" s="797" t="str">
        <f>RAB!I57</f>
        <v>M3</v>
      </c>
      <c r="J59" s="797" t="str">
        <f>RAB!J57</f>
        <v>A.2.3.1.11.</v>
      </c>
      <c r="K59" s="804" t="str">
        <f>VLOOKUP(J59,RKPANL!B:D,2,0)</f>
        <v>Pengurugan 1 m3 dengan pasir urug</v>
      </c>
      <c r="L59" s="800">
        <f>VLOOKUP(J59,RKPANL!B:D,3,0)</f>
        <v>209587.5</v>
      </c>
      <c r="M59" s="1063">
        <f t="shared" si="7"/>
        <v>838350</v>
      </c>
      <c r="N59" s="838"/>
      <c r="O59" s="1127">
        <v>1</v>
      </c>
      <c r="P59" s="800">
        <f>M59*O59</f>
        <v>838350</v>
      </c>
      <c r="Q59" s="1068">
        <f>M59-P59</f>
        <v>0</v>
      </c>
    </row>
    <row r="60" spans="2:17" s="886" customFormat="1" ht="15.6" outlineLevel="2">
      <c r="B60" s="831"/>
      <c r="C60" s="832"/>
      <c r="D60" s="825">
        <v>3</v>
      </c>
      <c r="E60" s="834" t="s">
        <v>893</v>
      </c>
      <c r="F60" s="834"/>
      <c r="G60" s="835"/>
      <c r="H60" s="797">
        <f>RAB!H58</f>
        <v>1.2000000000000002</v>
      </c>
      <c r="I60" s="797" t="str">
        <f>RAB!I58</f>
        <v>Bh</v>
      </c>
      <c r="J60" s="797" t="str">
        <f>RAB!J58</f>
        <v>A.4.1.1.4</v>
      </c>
      <c r="K60" s="804" t="str">
        <f>VLOOKUP(J60,RKPANL!B:D,2,0)</f>
        <v>Membuat 1 m3 lantai kerja beton mutu f’c = 7,4 MPa slump (3-6)
cm, w/c = 0,87</v>
      </c>
      <c r="L60" s="800">
        <f>VLOOKUP(J60,RKPANL!B:D,3,0)</f>
        <v>1190340.357142857</v>
      </c>
      <c r="M60" s="1063">
        <f t="shared" si="7"/>
        <v>1428408.4285714286</v>
      </c>
      <c r="N60" s="838"/>
      <c r="O60" s="1127">
        <v>0.96860000000000002</v>
      </c>
      <c r="P60" s="800">
        <f>M60*O60</f>
        <v>1383556.4039142858</v>
      </c>
      <c r="Q60" s="1068">
        <f>M60-P60</f>
        <v>44852.024657142814</v>
      </c>
    </row>
    <row r="61" spans="2:17" s="886" customFormat="1" ht="15.6" outlineLevel="2">
      <c r="B61" s="831"/>
      <c r="C61" s="832"/>
      <c r="D61" s="833">
        <v>4</v>
      </c>
      <c r="E61" s="834" t="s">
        <v>905</v>
      </c>
      <c r="F61" s="834"/>
      <c r="G61" s="835"/>
      <c r="H61" s="797">
        <f>RAB!H59</f>
        <v>67</v>
      </c>
      <c r="I61" s="797" t="str">
        <f>RAB!I59</f>
        <v>Bh</v>
      </c>
      <c r="J61" s="797" t="str">
        <f>RAB!J59</f>
        <v>Hit.DRN.2.02</v>
      </c>
      <c r="K61" s="804" t="str">
        <f>VLOOKUP(J61,RKPANL!B:D,2,0)</f>
        <v>Pemasangan U-Ditch 30x30x120cm - K350</v>
      </c>
      <c r="L61" s="800">
        <f>VLOOKUP(J61,RKPANL!B:D,3,0)</f>
        <v>705136.875</v>
      </c>
      <c r="M61" s="1063">
        <f t="shared" si="7"/>
        <v>47244170.625</v>
      </c>
      <c r="N61" s="838"/>
      <c r="O61" s="1127">
        <v>0.95899999999999996</v>
      </c>
      <c r="P61" s="800">
        <f>M61*O61</f>
        <v>45307159.629374996</v>
      </c>
      <c r="Q61" s="1068">
        <f>M61-P61</f>
        <v>1937010.9956250042</v>
      </c>
    </row>
    <row r="62" spans="2:17" s="886" customFormat="1" ht="15" customHeight="1" outlineLevel="2">
      <c r="B62" s="831"/>
      <c r="C62" s="832"/>
      <c r="D62" s="825">
        <v>5</v>
      </c>
      <c r="E62" s="834" t="s">
        <v>904</v>
      </c>
      <c r="F62" s="834"/>
      <c r="G62" s="835"/>
      <c r="H62" s="797">
        <f>RAB!H60</f>
        <v>134</v>
      </c>
      <c r="I62" s="797" t="str">
        <f>RAB!I60</f>
        <v>Bh</v>
      </c>
      <c r="J62" s="797" t="str">
        <f>RAB!J60</f>
        <v>Hit.DRN.3.01</v>
      </c>
      <c r="K62" s="804" t="str">
        <f>VLOOKUP(J62,RKPANL!B:D,2,0)</f>
        <v>Pemasangan Penutup U-Ditch 30x60cm - K350</v>
      </c>
      <c r="L62" s="800">
        <f>VLOOKUP(J62,RKPANL!B:D,3,0)</f>
        <v>230805</v>
      </c>
      <c r="M62" s="1063">
        <f t="shared" si="7"/>
        <v>30927870</v>
      </c>
      <c r="N62" s="838"/>
      <c r="O62" s="1127">
        <v>0.95899999999999996</v>
      </c>
      <c r="P62" s="800">
        <f>M62*O62</f>
        <v>29659827.329999998</v>
      </c>
      <c r="Q62" s="1068">
        <f>M62-P62</f>
        <v>1268042.6700000018</v>
      </c>
    </row>
    <row r="63" spans="2:17" s="886" customFormat="1" outlineLevel="2">
      <c r="B63" s="831"/>
      <c r="C63" s="836"/>
      <c r="D63" s="825"/>
      <c r="E63" s="826"/>
      <c r="F63" s="826"/>
      <c r="G63" s="827"/>
      <c r="H63" s="828"/>
      <c r="I63" s="829"/>
      <c r="J63" s="829"/>
      <c r="K63" s="837"/>
      <c r="L63" s="838"/>
      <c r="M63" s="1063"/>
      <c r="N63" s="838"/>
      <c r="O63" s="841"/>
      <c r="P63" s="838"/>
      <c r="Q63" s="1070"/>
    </row>
    <row r="64" spans="2:17" ht="15.6" outlineLevel="1">
      <c r="B64" s="1093"/>
      <c r="C64" s="1094"/>
      <c r="D64" s="1094"/>
      <c r="E64" s="1094"/>
      <c r="F64" s="1094"/>
      <c r="G64" s="1094"/>
      <c r="H64" s="1095"/>
      <c r="I64" s="1094"/>
      <c r="J64" s="1094"/>
      <c r="K64" s="1095"/>
      <c r="L64" s="1099"/>
      <c r="M64" s="1100" t="s">
        <v>45</v>
      </c>
      <c r="N64" s="1096">
        <f>SUM(M58:M62)</f>
        <v>86157174.053571433</v>
      </c>
      <c r="O64" s="1123"/>
      <c r="P64" s="1096">
        <f>SUM(P58:P63)</f>
        <v>82907268.363289282</v>
      </c>
      <c r="Q64" s="1101">
        <f>SUM(Q58:Q63)</f>
        <v>3249905.6902821488</v>
      </c>
    </row>
    <row r="65" spans="2:17" s="886" customFormat="1" ht="15.6" outlineLevel="1">
      <c r="B65" s="887"/>
      <c r="C65" s="1189" t="s">
        <v>17</v>
      </c>
      <c r="D65" s="889" t="s">
        <v>789</v>
      </c>
      <c r="E65" s="890"/>
      <c r="F65" s="826"/>
      <c r="G65" s="827"/>
      <c r="H65" s="828"/>
      <c r="I65" s="829"/>
      <c r="J65" s="829"/>
      <c r="K65" s="891"/>
      <c r="L65" s="892"/>
      <c r="M65" s="1062"/>
      <c r="N65" s="892"/>
      <c r="O65" s="895"/>
      <c r="P65" s="892"/>
      <c r="Q65" s="1069"/>
    </row>
    <row r="66" spans="2:17" s="886" customFormat="1" outlineLevel="2">
      <c r="B66" s="823"/>
      <c r="C66" s="1190"/>
      <c r="D66" s="825">
        <v>1</v>
      </c>
      <c r="E66" s="826" t="s">
        <v>450</v>
      </c>
      <c r="F66" s="826"/>
      <c r="G66" s="827"/>
      <c r="H66" s="797">
        <f>RAB!H64</f>
        <v>10.799999999999999</v>
      </c>
      <c r="I66" s="797" t="str">
        <f>RAB!I64</f>
        <v>M3</v>
      </c>
      <c r="J66" s="797" t="str">
        <f>RAB!J64</f>
        <v>A.2.3.1.1.</v>
      </c>
      <c r="K66" s="804" t="str">
        <f>VLOOKUP(J66,RKPANL!B:D,2,0)</f>
        <v>Penggalian 1 m3  tanah biasa sedalam 1 m</v>
      </c>
      <c r="L66" s="838">
        <f>VLOOKUP(J66,RKPANL!B:D,3,0)</f>
        <v>109968.75</v>
      </c>
      <c r="M66" s="1063">
        <f t="shared" ref="M66:M67" si="8">L66*H66</f>
        <v>1187662.4999999998</v>
      </c>
      <c r="N66" s="838"/>
      <c r="O66" s="1127">
        <v>1</v>
      </c>
      <c r="P66" s="800">
        <f>M66*O66</f>
        <v>1187662.4999999998</v>
      </c>
      <c r="Q66" s="1068">
        <f>M66-P66</f>
        <v>0</v>
      </c>
    </row>
    <row r="67" spans="2:17" s="886" customFormat="1" ht="15.6" outlineLevel="2">
      <c r="B67" s="831"/>
      <c r="C67" s="832"/>
      <c r="D67" s="833">
        <v>2</v>
      </c>
      <c r="E67" s="834" t="s">
        <v>366</v>
      </c>
      <c r="F67" s="834"/>
      <c r="G67" s="835"/>
      <c r="H67" s="797">
        <f>RAB!H65</f>
        <v>1.4</v>
      </c>
      <c r="I67" s="797" t="str">
        <f>RAB!I65</f>
        <v>M3</v>
      </c>
      <c r="J67" s="797" t="str">
        <f>RAB!J65</f>
        <v>A.2.3.1.11.</v>
      </c>
      <c r="K67" s="804" t="str">
        <f>VLOOKUP(J67,RKPANL!B:D,2,0)</f>
        <v>Pengurugan 1 m3 dengan pasir urug</v>
      </c>
      <c r="L67" s="838">
        <f>VLOOKUP(J67,RKPANL!B:D,3,0)</f>
        <v>209587.5</v>
      </c>
      <c r="M67" s="1063">
        <f t="shared" si="8"/>
        <v>293422.5</v>
      </c>
      <c r="N67" s="838"/>
      <c r="O67" s="1127">
        <v>1</v>
      </c>
      <c r="P67" s="800">
        <f>M67*O67</f>
        <v>293422.5</v>
      </c>
      <c r="Q67" s="1068">
        <f>M67-P67</f>
        <v>0</v>
      </c>
    </row>
    <row r="68" spans="2:17" s="886" customFormat="1" ht="15.6" outlineLevel="2">
      <c r="B68" s="831"/>
      <c r="C68" s="832"/>
      <c r="D68" s="825">
        <v>3</v>
      </c>
      <c r="E68" s="834" t="s">
        <v>906</v>
      </c>
      <c r="F68" s="834"/>
      <c r="G68" s="835"/>
      <c r="H68" s="797">
        <f>RAB!H66</f>
        <v>20</v>
      </c>
      <c r="I68" s="797" t="str">
        <f>RAB!I66</f>
        <v>Bh</v>
      </c>
      <c r="J68" s="797" t="str">
        <f>RAB!J66</f>
        <v>Hit.DRN.1.01</v>
      </c>
      <c r="K68" s="804" t="str">
        <f>VLOOKUP(J68,RKPANL!B:D,2,0)</f>
        <v xml:space="preserve">Pemasangan Buis Beton Dia. 50cm </v>
      </c>
      <c r="L68" s="838">
        <f>VLOOKUP(J68,RKPANL!B:D,3,0)</f>
        <v>350663.75</v>
      </c>
      <c r="M68" s="1063">
        <f>L68*H68</f>
        <v>7013275</v>
      </c>
      <c r="N68" s="838"/>
      <c r="O68" s="1127">
        <v>0.95899999999999996</v>
      </c>
      <c r="P68" s="800">
        <f>M68*O68</f>
        <v>6725730.7249999996</v>
      </c>
      <c r="Q68" s="1068">
        <f>M68-P68</f>
        <v>287544.27500000037</v>
      </c>
    </row>
    <row r="69" spans="2:17" s="886" customFormat="1" outlineLevel="2">
      <c r="B69" s="831"/>
      <c r="C69" s="836"/>
      <c r="D69" s="825"/>
      <c r="E69" s="826"/>
      <c r="F69" s="826"/>
      <c r="G69" s="827"/>
      <c r="H69" s="828"/>
      <c r="I69" s="829"/>
      <c r="J69" s="829"/>
      <c r="K69" s="837"/>
      <c r="L69" s="838"/>
      <c r="M69" s="1063"/>
      <c r="N69" s="838"/>
      <c r="O69" s="841"/>
      <c r="P69" s="838"/>
      <c r="Q69" s="1070"/>
    </row>
    <row r="70" spans="2:17" ht="15.6" outlineLevel="1">
      <c r="B70" s="1093"/>
      <c r="C70" s="1094"/>
      <c r="D70" s="1094"/>
      <c r="E70" s="1094"/>
      <c r="F70" s="1094"/>
      <c r="G70" s="1094"/>
      <c r="H70" s="1095"/>
      <c r="I70" s="1094"/>
      <c r="J70" s="1094"/>
      <c r="K70" s="1095"/>
      <c r="L70" s="1099"/>
      <c r="M70" s="1100" t="s">
        <v>46</v>
      </c>
      <c r="N70" s="1096">
        <f>SUM(M66:M68)</f>
        <v>8494360</v>
      </c>
      <c r="O70" s="1123"/>
      <c r="P70" s="1096">
        <f t="shared" ref="P70:Q70" si="9">SUM(P66:P69)</f>
        <v>8206815.7249999996</v>
      </c>
      <c r="Q70" s="1101">
        <f t="shared" si="9"/>
        <v>287544.27500000037</v>
      </c>
    </row>
    <row r="71" spans="2:17" s="886" customFormat="1" ht="15.6" outlineLevel="1">
      <c r="B71" s="887"/>
      <c r="C71" s="1189" t="s">
        <v>18</v>
      </c>
      <c r="D71" s="889" t="s">
        <v>943</v>
      </c>
      <c r="E71" s="890"/>
      <c r="F71" s="826"/>
      <c r="G71" s="827"/>
      <c r="H71" s="828"/>
      <c r="I71" s="829"/>
      <c r="J71" s="829"/>
      <c r="K71" s="891"/>
      <c r="L71" s="892"/>
      <c r="M71" s="1062"/>
      <c r="N71" s="892"/>
      <c r="O71" s="895"/>
      <c r="P71" s="892"/>
      <c r="Q71" s="1069"/>
    </row>
    <row r="72" spans="2:17" s="886" customFormat="1" outlineLevel="2">
      <c r="B72" s="823"/>
      <c r="C72" s="1190"/>
      <c r="D72" s="825">
        <v>1</v>
      </c>
      <c r="E72" s="826" t="s">
        <v>450</v>
      </c>
      <c r="F72" s="826"/>
      <c r="G72" s="827"/>
      <c r="H72" s="797">
        <f>RAB!H70</f>
        <v>31.919999999999995</v>
      </c>
      <c r="I72" s="797" t="str">
        <f>RAB!I70</f>
        <v>M3</v>
      </c>
      <c r="J72" s="797" t="str">
        <f>RAB!J70</f>
        <v>A.2.3.1.1.</v>
      </c>
      <c r="K72" s="804" t="str">
        <f>VLOOKUP(J72,RKPANL!B:D,2,0)</f>
        <v>Penggalian 1 m3  tanah biasa sedalam 1 m</v>
      </c>
      <c r="L72" s="838">
        <f>VLOOKUP(J72,RKPANL!B:D,3,0)</f>
        <v>109968.75</v>
      </c>
      <c r="M72" s="1063">
        <f t="shared" ref="M72:M73" si="10">L72*H72</f>
        <v>3510202.4999999995</v>
      </c>
      <c r="N72" s="838"/>
      <c r="O72" s="1127">
        <v>1</v>
      </c>
      <c r="P72" s="800">
        <f>M72*O72</f>
        <v>3510202.4999999995</v>
      </c>
      <c r="Q72" s="1068">
        <f>M72-P72</f>
        <v>0</v>
      </c>
    </row>
    <row r="73" spans="2:17" s="886" customFormat="1" ht="15.6" outlineLevel="2">
      <c r="B73" s="831"/>
      <c r="C73" s="832"/>
      <c r="D73" s="833">
        <v>2</v>
      </c>
      <c r="E73" s="834" t="s">
        <v>366</v>
      </c>
      <c r="F73" s="834"/>
      <c r="G73" s="835"/>
      <c r="H73" s="797">
        <f>RAB!H71</f>
        <v>5.32</v>
      </c>
      <c r="I73" s="797" t="str">
        <f>RAB!I71</f>
        <v>M3</v>
      </c>
      <c r="J73" s="797" t="str">
        <f>RAB!J71</f>
        <v>A.2.3.1.11.</v>
      </c>
      <c r="K73" s="804" t="str">
        <f>VLOOKUP(J73,RKPANL!B:D,2,0)</f>
        <v>Pengurugan 1 m3 dengan pasir urug</v>
      </c>
      <c r="L73" s="838">
        <f>VLOOKUP(J73,RKPANL!B:D,3,0)</f>
        <v>209587.5</v>
      </c>
      <c r="M73" s="1063">
        <f t="shared" si="10"/>
        <v>1115005.5</v>
      </c>
      <c r="N73" s="838"/>
      <c r="O73" s="1127">
        <v>1</v>
      </c>
      <c r="P73" s="800">
        <f>M73*O73</f>
        <v>1115005.5</v>
      </c>
      <c r="Q73" s="1068">
        <f>M73-P73</f>
        <v>0</v>
      </c>
    </row>
    <row r="74" spans="2:17" s="886" customFormat="1" ht="15.6" outlineLevel="2">
      <c r="B74" s="831"/>
      <c r="C74" s="832"/>
      <c r="D74" s="825">
        <v>3</v>
      </c>
      <c r="E74" s="834" t="s">
        <v>944</v>
      </c>
      <c r="F74" s="834"/>
      <c r="G74" s="835"/>
      <c r="H74" s="797">
        <f>RAB!H72</f>
        <v>74</v>
      </c>
      <c r="I74" s="797" t="str">
        <f>RAB!I72</f>
        <v>Bh</v>
      </c>
      <c r="J74" s="797" t="str">
        <f>RAB!J72</f>
        <v>Hit.DRN.1.02</v>
      </c>
      <c r="K74" s="804" t="str">
        <f>VLOOKUP(J74,RKPANL!B:D,2,0)</f>
        <v xml:space="preserve">Pemasangan Buis Beton Dia. 30cm </v>
      </c>
      <c r="L74" s="838">
        <f>VLOOKUP(J74,RKPANL!B:D,3,0)</f>
        <v>224163.75</v>
      </c>
      <c r="M74" s="1063">
        <f>L74*H74</f>
        <v>16588117.5</v>
      </c>
      <c r="N74" s="838"/>
      <c r="O74" s="1127">
        <v>0.95899999999999996</v>
      </c>
      <c r="P74" s="800">
        <f>M74*O74</f>
        <v>15908004.682499999</v>
      </c>
      <c r="Q74" s="1068">
        <f>M74-P74</f>
        <v>680112.81750000082</v>
      </c>
    </row>
    <row r="75" spans="2:17" s="886" customFormat="1" outlineLevel="2">
      <c r="B75" s="831"/>
      <c r="C75" s="836"/>
      <c r="D75" s="825"/>
      <c r="E75" s="826"/>
      <c r="F75" s="826"/>
      <c r="G75" s="827"/>
      <c r="H75" s="828"/>
      <c r="I75" s="829"/>
      <c r="J75" s="829"/>
      <c r="K75" s="837"/>
      <c r="L75" s="838"/>
      <c r="M75" s="1063"/>
      <c r="N75" s="838"/>
      <c r="O75" s="841"/>
      <c r="P75" s="838"/>
      <c r="Q75" s="1070"/>
    </row>
    <row r="76" spans="2:17" ht="15.6" outlineLevel="1">
      <c r="B76" s="1093"/>
      <c r="C76" s="1094"/>
      <c r="D76" s="1094"/>
      <c r="E76" s="1094"/>
      <c r="F76" s="1094"/>
      <c r="G76" s="1094"/>
      <c r="H76" s="1095"/>
      <c r="I76" s="1094"/>
      <c r="J76" s="1094"/>
      <c r="K76" s="1095"/>
      <c r="L76" s="1099"/>
      <c r="M76" s="1100" t="s">
        <v>55</v>
      </c>
      <c r="N76" s="1096">
        <f>SUM(M72:M74)</f>
        <v>21213325.5</v>
      </c>
      <c r="O76" s="1123"/>
      <c r="P76" s="1096">
        <f t="shared" ref="P76:Q76" si="11">SUM(P72:P75)</f>
        <v>20533212.682499997</v>
      </c>
      <c r="Q76" s="1101">
        <f t="shared" si="11"/>
        <v>680112.81750000082</v>
      </c>
    </row>
    <row r="77" spans="2:17" ht="15.6" outlineLevel="1">
      <c r="B77" s="880"/>
      <c r="C77" s="1187" t="s">
        <v>19</v>
      </c>
      <c r="D77" s="696" t="s">
        <v>451</v>
      </c>
      <c r="E77" s="875"/>
      <c r="F77" s="795"/>
      <c r="G77" s="796"/>
      <c r="H77" s="797"/>
      <c r="I77" s="798"/>
      <c r="J77" s="798"/>
      <c r="K77" s="882"/>
      <c r="L77" s="877"/>
      <c r="M77" s="1060"/>
      <c r="N77" s="877"/>
      <c r="O77" s="895"/>
      <c r="P77" s="877"/>
      <c r="Q77" s="1067"/>
    </row>
    <row r="78" spans="2:17" outlineLevel="2">
      <c r="B78" s="814"/>
      <c r="C78" s="1188"/>
      <c r="D78" s="794">
        <v>1</v>
      </c>
      <c r="E78" s="795" t="s">
        <v>450</v>
      </c>
      <c r="F78" s="795"/>
      <c r="G78" s="796"/>
      <c r="H78" s="797">
        <f>RAB!H76</f>
        <v>7.8975000000000009</v>
      </c>
      <c r="I78" s="797" t="str">
        <f>RAB!I76</f>
        <v>M3</v>
      </c>
      <c r="J78" s="797" t="str">
        <f>RAB!J76</f>
        <v>A.2.3.1.1.</v>
      </c>
      <c r="K78" s="804" t="str">
        <f>VLOOKUP(J78,RKPANL!B:D,2,0)</f>
        <v>Penggalian 1 m3  tanah biasa sedalam 1 m</v>
      </c>
      <c r="L78" s="800">
        <f>VLOOKUP(J78,RKPANL!B:D,3,0)</f>
        <v>109968.75</v>
      </c>
      <c r="M78" s="1061">
        <f t="shared" ref="M78:M80" si="12">L78*H78</f>
        <v>868478.20312500012</v>
      </c>
      <c r="N78" s="800"/>
      <c r="O78" s="1127">
        <v>1</v>
      </c>
      <c r="P78" s="800">
        <f>M78*O78</f>
        <v>868478.20312500012</v>
      </c>
      <c r="Q78" s="1068">
        <f>M78-P78</f>
        <v>0</v>
      </c>
    </row>
    <row r="79" spans="2:17" ht="15.6" outlineLevel="2">
      <c r="B79" s="793"/>
      <c r="C79" s="811"/>
      <c r="D79" s="816">
        <v>2</v>
      </c>
      <c r="E79" s="812" t="s">
        <v>449</v>
      </c>
      <c r="F79" s="812"/>
      <c r="G79" s="813"/>
      <c r="H79" s="797">
        <f>RAB!H77</f>
        <v>15</v>
      </c>
      <c r="I79" s="797" t="str">
        <f>RAB!I77</f>
        <v>Unit</v>
      </c>
      <c r="J79" s="797" t="str">
        <f>RAB!J77</f>
        <v>Hit. DRN.4.01</v>
      </c>
      <c r="K79" s="804" t="str">
        <f>VLOOKUP(J79,RKPANL!B:D,2,0)</f>
        <v>Bak Kontrol Tipe 1</v>
      </c>
      <c r="L79" s="838">
        <f>VLOOKUP(J79,RKPANL!B:D,3,0)</f>
        <v>884602.23019505502</v>
      </c>
      <c r="M79" s="1061">
        <f t="shared" si="12"/>
        <v>13269033.452925825</v>
      </c>
      <c r="N79" s="800"/>
      <c r="O79" s="1127">
        <v>1</v>
      </c>
      <c r="P79" s="800">
        <f>M79*O79</f>
        <v>13269033.452925825</v>
      </c>
      <c r="Q79" s="1068">
        <f>M79-P79</f>
        <v>0</v>
      </c>
    </row>
    <row r="80" spans="2:17" ht="15.6" outlineLevel="2">
      <c r="B80" s="793"/>
      <c r="C80" s="811"/>
      <c r="D80" s="794">
        <v>3</v>
      </c>
      <c r="E80" s="812" t="s">
        <v>918</v>
      </c>
      <c r="F80" s="812"/>
      <c r="G80" s="813"/>
      <c r="H80" s="797">
        <f>RAB!H78</f>
        <v>15</v>
      </c>
      <c r="I80" s="797" t="str">
        <f>RAB!I78</f>
        <v>Bh</v>
      </c>
      <c r="J80" s="797" t="str">
        <f>RAB!J78</f>
        <v>Hit. DRN.4.02</v>
      </c>
      <c r="K80" s="804" t="str">
        <f>VLOOKUP(J80,RKPANL!B:D,2,0)</f>
        <v>Tutup Kontrol Besi</v>
      </c>
      <c r="L80" s="838">
        <f>VLOOKUP(J80,RKPANL!B:D,3,0)</f>
        <v>246790</v>
      </c>
      <c r="M80" s="1061">
        <f t="shared" si="12"/>
        <v>3701850</v>
      </c>
      <c r="N80" s="800"/>
      <c r="O80" s="1127">
        <v>1</v>
      </c>
      <c r="P80" s="800">
        <f>M80*O80</f>
        <v>3701850</v>
      </c>
      <c r="Q80" s="1068">
        <f>M80-P80</f>
        <v>0</v>
      </c>
    </row>
    <row r="81" spans="2:17" outlineLevel="2">
      <c r="B81" s="793"/>
      <c r="C81" s="802"/>
      <c r="D81" s="794"/>
      <c r="E81" s="795"/>
      <c r="F81" s="795"/>
      <c r="G81" s="796"/>
      <c r="H81" s="797"/>
      <c r="I81" s="798"/>
      <c r="J81" s="798"/>
      <c r="K81" s="806"/>
      <c r="L81" s="800"/>
      <c r="M81" s="1061"/>
      <c r="N81" s="800"/>
      <c r="O81" s="841"/>
      <c r="P81" s="800"/>
      <c r="Q81" s="1068"/>
    </row>
    <row r="82" spans="2:17" ht="15.6" outlineLevel="1">
      <c r="B82" s="1093"/>
      <c r="C82" s="1094"/>
      <c r="D82" s="1094"/>
      <c r="E82" s="1094"/>
      <c r="F82" s="1094"/>
      <c r="G82" s="1094"/>
      <c r="H82" s="1095"/>
      <c r="I82" s="1094"/>
      <c r="J82" s="1094"/>
      <c r="K82" s="1095"/>
      <c r="L82" s="1099"/>
      <c r="M82" s="1100" t="s">
        <v>559</v>
      </c>
      <c r="N82" s="1096">
        <f>SUM(M78:M80)</f>
        <v>17839361.656050824</v>
      </c>
      <c r="O82" s="1123"/>
      <c r="P82" s="1096">
        <f t="shared" ref="P82:Q82" si="13">SUM(P78:P81)</f>
        <v>17839361.656050824</v>
      </c>
      <c r="Q82" s="1101">
        <f t="shared" si="13"/>
        <v>0</v>
      </c>
    </row>
    <row r="83" spans="2:17" s="1098" customFormat="1" ht="21.6" customHeight="1">
      <c r="B83" s="1102"/>
      <c r="C83" s="1103"/>
      <c r="D83" s="1103"/>
      <c r="E83" s="1103"/>
      <c r="F83" s="1103"/>
      <c r="G83" s="1103"/>
      <c r="H83" s="1104"/>
      <c r="I83" s="1103"/>
      <c r="J83" s="1103"/>
      <c r="K83" s="1272" t="s">
        <v>355</v>
      </c>
      <c r="L83" s="1272"/>
      <c r="M83" s="1105"/>
      <c r="N83" s="1106">
        <f>SUM(N49:N82)</f>
        <v>286685721.35247934</v>
      </c>
      <c r="O83" s="1124"/>
      <c r="P83" s="1106">
        <f t="shared" ref="P83:Q83" si="14">SUM(P49:P82)/2</f>
        <v>276619724.73271155</v>
      </c>
      <c r="Q83" s="1186">
        <f t="shared" si="14"/>
        <v>10065996.619767863</v>
      </c>
    </row>
    <row r="84" spans="2:17" ht="15.6">
      <c r="B84" s="851" t="s">
        <v>160</v>
      </c>
      <c r="C84" s="1185" t="s">
        <v>352</v>
      </c>
      <c r="E84" s="875"/>
      <c r="F84" s="795"/>
      <c r="G84" s="796"/>
      <c r="H84" s="797"/>
      <c r="I84" s="798"/>
      <c r="J84" s="798"/>
      <c r="K84" s="876"/>
      <c r="L84" s="877"/>
      <c r="M84" s="1060"/>
      <c r="N84" s="877"/>
      <c r="O84" s="895"/>
      <c r="P84" s="877"/>
      <c r="Q84" s="1067"/>
    </row>
    <row r="85" spans="2:17" ht="15.6" outlineLevel="1">
      <c r="B85" s="880"/>
      <c r="C85" s="1187" t="s">
        <v>2</v>
      </c>
      <c r="D85" s="696" t="s">
        <v>896</v>
      </c>
      <c r="E85" s="875"/>
      <c r="F85" s="795"/>
      <c r="G85" s="796"/>
      <c r="H85" s="797"/>
      <c r="I85" s="798"/>
      <c r="J85" s="798"/>
      <c r="K85" s="882"/>
      <c r="L85" s="877"/>
      <c r="M85" s="1060"/>
      <c r="N85" s="877"/>
      <c r="O85" s="895"/>
      <c r="P85" s="877"/>
      <c r="Q85" s="1067"/>
    </row>
    <row r="86" spans="2:17" outlineLevel="2">
      <c r="B86" s="814"/>
      <c r="C86" s="1188"/>
      <c r="D86" s="794">
        <v>1</v>
      </c>
      <c r="E86" s="795" t="s">
        <v>374</v>
      </c>
      <c r="F86" s="795"/>
      <c r="G86" s="796"/>
      <c r="H86" s="797">
        <f>RAB!H84</f>
        <v>1</v>
      </c>
      <c r="I86" s="797" t="str">
        <f>RAB!I84</f>
        <v>Ls</v>
      </c>
      <c r="J86" s="797" t="str">
        <f>RAB!J84</f>
        <v>Taksir</v>
      </c>
      <c r="K86" s="804" t="e">
        <f>VLOOKUP(J86,RKPANL!B:D,2,0)</f>
        <v>#N/A</v>
      </c>
      <c r="L86" s="800">
        <f>RAB!L84</f>
        <v>5000000</v>
      </c>
      <c r="M86" s="1061">
        <f>L86*H86</f>
        <v>5000000</v>
      </c>
      <c r="N86" s="800"/>
      <c r="O86" s="1127">
        <v>1</v>
      </c>
      <c r="P86" s="800">
        <f>M86*O86</f>
        <v>5000000</v>
      </c>
      <c r="Q86" s="1068">
        <f>M86-P86</f>
        <v>0</v>
      </c>
    </row>
    <row r="87" spans="2:17" outlineLevel="2">
      <c r="B87" s="814"/>
      <c r="C87" s="1188"/>
      <c r="D87" s="794">
        <v>2</v>
      </c>
      <c r="E87" s="795" t="s">
        <v>726</v>
      </c>
      <c r="F87" s="795"/>
      <c r="G87" s="796"/>
      <c r="H87" s="797">
        <f>RAB!H85</f>
        <v>1</v>
      </c>
      <c r="I87" s="797" t="str">
        <f>RAB!I85</f>
        <v>Ls</v>
      </c>
      <c r="J87" s="797" t="str">
        <f>RAB!J85</f>
        <v>Taksir</v>
      </c>
      <c r="K87" s="804" t="e">
        <f>VLOOKUP(J87,RKPANL!B:D,2,0)</f>
        <v>#N/A</v>
      </c>
      <c r="L87" s="800">
        <f>RAB!L85</f>
        <v>5000000</v>
      </c>
      <c r="M87" s="1061">
        <f>L87*H87</f>
        <v>5000000</v>
      </c>
      <c r="N87" s="800"/>
      <c r="O87" s="1127">
        <v>1</v>
      </c>
      <c r="P87" s="800">
        <f>M87*O87</f>
        <v>5000000</v>
      </c>
      <c r="Q87" s="1068">
        <f>M87-P87</f>
        <v>0</v>
      </c>
    </row>
    <row r="88" spans="2:17" outlineLevel="2">
      <c r="B88" s="814"/>
      <c r="C88" s="1188"/>
      <c r="D88" s="794">
        <v>3</v>
      </c>
      <c r="E88" s="795" t="s">
        <v>897</v>
      </c>
      <c r="F88" s="795"/>
      <c r="G88" s="796"/>
      <c r="H88" s="797">
        <f>RAB!H86</f>
        <v>1</v>
      </c>
      <c r="I88" s="797" t="str">
        <f>RAB!I86</f>
        <v>Ls</v>
      </c>
      <c r="J88" s="797" t="str">
        <f>RAB!J86</f>
        <v>Taksir</v>
      </c>
      <c r="K88" s="804" t="e">
        <f>VLOOKUP(J88,RKPANL!B:D,2,0)</f>
        <v>#N/A</v>
      </c>
      <c r="L88" s="800">
        <f>RAB!L86</f>
        <v>10000000</v>
      </c>
      <c r="M88" s="1061">
        <f>L88*H88</f>
        <v>10000000</v>
      </c>
      <c r="N88" s="800"/>
      <c r="O88" s="1127">
        <v>1</v>
      </c>
      <c r="P88" s="800">
        <f>M88*O88</f>
        <v>10000000</v>
      </c>
      <c r="Q88" s="1068">
        <f>M88-P88</f>
        <v>0</v>
      </c>
    </row>
    <row r="89" spans="2:17" outlineLevel="2">
      <c r="B89" s="814"/>
      <c r="C89" s="1188"/>
      <c r="D89" s="794"/>
      <c r="E89" s="795"/>
      <c r="F89" s="795"/>
      <c r="G89" s="796"/>
      <c r="H89" s="797"/>
      <c r="I89" s="798"/>
      <c r="J89" s="798"/>
      <c r="K89" s="806"/>
      <c r="L89" s="800"/>
      <c r="M89" s="1061"/>
      <c r="N89" s="800"/>
      <c r="O89" s="841"/>
      <c r="P89" s="800"/>
      <c r="Q89" s="1068"/>
    </row>
    <row r="90" spans="2:17" ht="15.6" outlineLevel="1">
      <c r="B90" s="1093"/>
      <c r="C90" s="1094"/>
      <c r="D90" s="1094"/>
      <c r="E90" s="1094"/>
      <c r="F90" s="1094"/>
      <c r="G90" s="1094"/>
      <c r="H90" s="1095"/>
      <c r="I90" s="1094"/>
      <c r="J90" s="1094"/>
      <c r="K90" s="1095"/>
      <c r="L90" s="1099"/>
      <c r="M90" s="1100" t="s">
        <v>44</v>
      </c>
      <c r="N90" s="1096">
        <f>SUM(M86:M88)</f>
        <v>20000000</v>
      </c>
      <c r="O90" s="1123"/>
      <c r="P90" s="1096">
        <f>SUM(P86:P89)</f>
        <v>20000000</v>
      </c>
      <c r="Q90" s="1101">
        <f t="shared" ref="Q90" si="15">SUM(Q86:Q89)</f>
        <v>0</v>
      </c>
    </row>
    <row r="91" spans="2:17" ht="15.6" outlineLevel="1">
      <c r="B91" s="880"/>
      <c r="C91" s="1187" t="s">
        <v>16</v>
      </c>
      <c r="D91" s="696" t="s">
        <v>56</v>
      </c>
      <c r="E91" s="875"/>
      <c r="F91" s="795"/>
      <c r="G91" s="796"/>
      <c r="H91" s="797"/>
      <c r="I91" s="798"/>
      <c r="J91" s="798"/>
      <c r="K91" s="882"/>
      <c r="L91" s="877"/>
      <c r="M91" s="1060"/>
      <c r="N91" s="877"/>
      <c r="O91" s="895"/>
      <c r="P91" s="877"/>
      <c r="Q91" s="1067"/>
    </row>
    <row r="92" spans="2:17" ht="15.6" outlineLevel="2">
      <c r="B92" s="793"/>
      <c r="C92" s="811"/>
      <c r="D92" s="816">
        <v>1</v>
      </c>
      <c r="E92" s="812" t="s">
        <v>373</v>
      </c>
      <c r="F92" s="812"/>
      <c r="G92" s="813"/>
      <c r="H92" s="797"/>
      <c r="I92" s="798"/>
      <c r="J92" s="798"/>
      <c r="K92" s="806"/>
      <c r="L92" s="800"/>
      <c r="M92" s="1061"/>
      <c r="N92" s="800"/>
      <c r="O92" s="841"/>
      <c r="P92" s="800"/>
      <c r="Q92" s="1068"/>
    </row>
    <row r="93" spans="2:17" ht="15.6" outlineLevel="2">
      <c r="B93" s="793"/>
      <c r="C93" s="811"/>
      <c r="D93" s="816"/>
      <c r="E93" s="803" t="s">
        <v>243</v>
      </c>
      <c r="F93" s="812"/>
      <c r="G93" s="813"/>
      <c r="H93" s="797">
        <f>RAB!H91</f>
        <v>5.3759999999999994</v>
      </c>
      <c r="I93" s="797" t="str">
        <f>RAB!I91</f>
        <v>M3</v>
      </c>
      <c r="J93" s="797" t="str">
        <f>RAB!J91</f>
        <v>A.4.1.1.11.</v>
      </c>
      <c r="K93" s="804" t="str">
        <f>VLOOKUP(J93,RKPANL!B:D,2,0)</f>
        <v>Membuat 1 m3 beton mutu f’c = 14,5 Mpa (K175)</v>
      </c>
      <c r="L93" s="800">
        <f>VLOOKUP(J93,RKPANL!B:D,3,0)</f>
        <v>1342419.010989011</v>
      </c>
      <c r="M93" s="1061">
        <f t="shared" ref="M93:M98" si="16">L93*H93</f>
        <v>7216844.6030769227</v>
      </c>
      <c r="N93" s="800"/>
      <c r="O93" s="1127">
        <v>0.95899999999999996</v>
      </c>
      <c r="P93" s="800">
        <f t="shared" ref="P93:P98" si="17">M93*O93</f>
        <v>6920953.9743507691</v>
      </c>
      <c r="Q93" s="1068">
        <f t="shared" ref="Q93:Q98" si="18">M93-P93</f>
        <v>295890.62872615363</v>
      </c>
    </row>
    <row r="94" spans="2:17" ht="15.6" outlineLevel="2">
      <c r="B94" s="793"/>
      <c r="C94" s="811"/>
      <c r="D94" s="816"/>
      <c r="E94" s="803" t="s">
        <v>395</v>
      </c>
      <c r="F94" s="812"/>
      <c r="G94" s="813"/>
      <c r="H94" s="797">
        <f>RAB!H92</f>
        <v>220.85504000000003</v>
      </c>
      <c r="I94" s="797" t="str">
        <f>RAB!I92</f>
        <v>Kg</v>
      </c>
      <c r="J94" s="797" t="str">
        <f>RAB!J92</f>
        <v>A.4.1.1.17.</v>
      </c>
      <c r="K94" s="804" t="str">
        <f>VLOOKUP(J94,RKPANL!B:D,2,0)</f>
        <v xml:space="preserve">Pembesian 1 kg dengan besi polos Pembesian untuk 10 kg dengan besi polos </v>
      </c>
      <c r="L94" s="800">
        <f>VLOOKUP(J94,RKPANL!B:D,3,0)</f>
        <v>19744.349999999999</v>
      </c>
      <c r="M94" s="1061">
        <f t="shared" si="16"/>
        <v>4360639.209024</v>
      </c>
      <c r="N94" s="800"/>
      <c r="O94" s="1127">
        <v>0.60250000000000004</v>
      </c>
      <c r="P94" s="800">
        <f t="shared" si="17"/>
        <v>2627285.1234369599</v>
      </c>
      <c r="Q94" s="1068">
        <f t="shared" si="18"/>
        <v>1733354.0855870401</v>
      </c>
    </row>
    <row r="95" spans="2:17" ht="15.6" outlineLevel="2">
      <c r="B95" s="793"/>
      <c r="C95" s="811"/>
      <c r="D95" s="816"/>
      <c r="E95" s="803" t="s">
        <v>396</v>
      </c>
      <c r="F95" s="812"/>
      <c r="G95" s="813"/>
      <c r="H95" s="797">
        <f>RAB!H93</f>
        <v>220.85504000000006</v>
      </c>
      <c r="I95" s="797" t="str">
        <f>RAB!I93</f>
        <v>Kg</v>
      </c>
      <c r="J95" s="797" t="str">
        <f>RAB!J93</f>
        <v>A.4.1.1.17.</v>
      </c>
      <c r="K95" s="804" t="str">
        <f>VLOOKUP(J95,RKPANL!B:D,2,0)</f>
        <v xml:space="preserve">Pembesian 1 kg dengan besi polos Pembesian untuk 10 kg dengan besi polos </v>
      </c>
      <c r="L95" s="800">
        <f>VLOOKUP(J95,RKPANL!B:D,3,0)</f>
        <v>19744.349999999999</v>
      </c>
      <c r="M95" s="1061">
        <f t="shared" si="16"/>
        <v>4360639.2090240009</v>
      </c>
      <c r="N95" s="800"/>
      <c r="O95" s="1127">
        <v>0.60250000000000004</v>
      </c>
      <c r="P95" s="800">
        <f t="shared" si="17"/>
        <v>2627285.1234369609</v>
      </c>
      <c r="Q95" s="1068">
        <f t="shared" si="18"/>
        <v>1733354.0855870401</v>
      </c>
    </row>
    <row r="96" spans="2:17" ht="15.6" outlineLevel="2">
      <c r="B96" s="793"/>
      <c r="C96" s="811"/>
      <c r="D96" s="816"/>
      <c r="E96" s="803" t="s">
        <v>244</v>
      </c>
      <c r="F96" s="812"/>
      <c r="G96" s="813"/>
      <c r="H96" s="797">
        <f>RAB!H94</f>
        <v>89.6</v>
      </c>
      <c r="I96" s="797" t="str">
        <f>RAB!I94</f>
        <v>M2</v>
      </c>
      <c r="J96" s="797" t="str">
        <f>RAB!J94</f>
        <v>A.4.1.1.21.</v>
      </c>
      <c r="K96" s="804" t="str">
        <f>VLOOKUP(J96,RKPANL!B:D,2,0)</f>
        <v>Pemasangan 1 m2 bekisting untuk sloof / kolom praktis</v>
      </c>
      <c r="L96" s="800">
        <f>VLOOKUP(J96,RKPANL!B:D,3,0)</f>
        <v>318285.5</v>
      </c>
      <c r="M96" s="1061">
        <f t="shared" si="16"/>
        <v>28518380.799999997</v>
      </c>
      <c r="N96" s="800"/>
      <c r="O96" s="1127">
        <v>0.99719999999999998</v>
      </c>
      <c r="P96" s="800">
        <f t="shared" si="17"/>
        <v>28438529.333759997</v>
      </c>
      <c r="Q96" s="1068">
        <f t="shared" si="18"/>
        <v>79851.46623999998</v>
      </c>
    </row>
    <row r="97" spans="2:17" ht="15.6" outlineLevel="2">
      <c r="B97" s="793"/>
      <c r="C97" s="811"/>
      <c r="D97" s="816">
        <v>2</v>
      </c>
      <c r="E97" s="812" t="s">
        <v>706</v>
      </c>
      <c r="F97" s="1191"/>
      <c r="G97" s="1192"/>
      <c r="H97" s="797">
        <f>RAB!H95</f>
        <v>284.63960000000003</v>
      </c>
      <c r="I97" s="797" t="str">
        <f>RAB!I95</f>
        <v>M3</v>
      </c>
      <c r="J97" s="797" t="str">
        <f>RAB!J95</f>
        <v>A.4.1.1.10.</v>
      </c>
      <c r="K97" s="804" t="str">
        <f>VLOOKUP(J97,RKPANL!B:D,2,0)</f>
        <v>Membuat 1 m3 beton mutu f’c = 19,4 Mpa (K225)</v>
      </c>
      <c r="L97" s="800">
        <f>VLOOKUP(J97,RKPANL!B:D,3,0)</f>
        <v>1429920.1098901099</v>
      </c>
      <c r="M97" s="1061">
        <f t="shared" si="16"/>
        <v>407011888.11107695</v>
      </c>
      <c r="N97" s="800"/>
      <c r="O97" s="1127">
        <v>0.95899999999999996</v>
      </c>
      <c r="P97" s="800">
        <f t="shared" si="17"/>
        <v>390324400.69852281</v>
      </c>
      <c r="Q97" s="1068">
        <f t="shared" si="18"/>
        <v>16687487.412554145</v>
      </c>
    </row>
    <row r="98" spans="2:17" ht="15.6" outlineLevel="2">
      <c r="B98" s="793"/>
      <c r="C98" s="811"/>
      <c r="D98" s="816">
        <v>3</v>
      </c>
      <c r="E98" s="812" t="s">
        <v>684</v>
      </c>
      <c r="F98" s="1191"/>
      <c r="G98" s="1192"/>
      <c r="H98" s="797">
        <f>RAB!H96</f>
        <v>4066.28</v>
      </c>
      <c r="I98" s="797" t="str">
        <f>RAB!I96</f>
        <v>M2</v>
      </c>
      <c r="J98" s="797" t="str">
        <f>RAB!J96</f>
        <v>A.4.1.1.18.</v>
      </c>
      <c r="K98" s="804" t="str">
        <f>VLOOKUP(J98,RKPANL!B:D,2,0)</f>
        <v>Pemasangan 1 m2 Pembesian dengan jaring kawat baja (wiremesh) M6</v>
      </c>
      <c r="L98" s="800">
        <f>VLOOKUP(J98,RKPANL!B:D,3,0)</f>
        <v>65637.046582892421</v>
      </c>
      <c r="M98" s="1061">
        <f t="shared" si="16"/>
        <v>266898609.77908382</v>
      </c>
      <c r="N98" s="800"/>
      <c r="O98" s="1127">
        <v>0.5857</v>
      </c>
      <c r="P98" s="800">
        <f t="shared" si="17"/>
        <v>156322515.74760941</v>
      </c>
      <c r="Q98" s="1068">
        <f t="shared" si="18"/>
        <v>110576094.03147441</v>
      </c>
    </row>
    <row r="99" spans="2:17" outlineLevel="2">
      <c r="B99" s="793"/>
      <c r="C99" s="802"/>
      <c r="D99" s="794"/>
      <c r="E99" s="795"/>
      <c r="F99" s="795"/>
      <c r="G99" s="796"/>
      <c r="H99" s="797"/>
      <c r="I99" s="798"/>
      <c r="J99" s="798"/>
      <c r="K99" s="806"/>
      <c r="L99" s="800"/>
      <c r="M99" s="1061"/>
      <c r="N99" s="800"/>
      <c r="O99" s="841"/>
      <c r="P99" s="800"/>
      <c r="Q99" s="1068"/>
    </row>
    <row r="100" spans="2:17" ht="15.6" outlineLevel="1">
      <c r="B100" s="1093"/>
      <c r="C100" s="1094"/>
      <c r="D100" s="1094"/>
      <c r="E100" s="1094"/>
      <c r="F100" s="1094"/>
      <c r="G100" s="1094"/>
      <c r="H100" s="1095"/>
      <c r="I100" s="1094"/>
      <c r="J100" s="1094"/>
      <c r="K100" s="1095"/>
      <c r="L100" s="1099"/>
      <c r="M100" s="1100" t="s">
        <v>45</v>
      </c>
      <c r="N100" s="1096">
        <f>SUM(M93:M98)</f>
        <v>718367001.71128571</v>
      </c>
      <c r="O100" s="1123"/>
      <c r="P100" s="1096">
        <f>SUM(P92:P99)</f>
        <v>587260970.00111687</v>
      </c>
      <c r="Q100" s="1101">
        <f>SUM(Q92:Q99)</f>
        <v>131106031.71016879</v>
      </c>
    </row>
    <row r="101" spans="2:17" ht="15.6" outlineLevel="1">
      <c r="B101" s="880"/>
      <c r="C101" s="1187" t="s">
        <v>17</v>
      </c>
      <c r="D101" s="696" t="s">
        <v>57</v>
      </c>
      <c r="E101" s="875"/>
      <c r="F101" s="795"/>
      <c r="G101" s="796"/>
      <c r="H101" s="797"/>
      <c r="I101" s="798"/>
      <c r="J101" s="798"/>
      <c r="K101" s="882"/>
      <c r="L101" s="877"/>
      <c r="M101" s="1060"/>
      <c r="N101" s="877"/>
      <c r="O101" s="895"/>
      <c r="P101" s="877"/>
      <c r="Q101" s="1067"/>
    </row>
    <row r="102" spans="2:17" ht="15.6" outlineLevel="2">
      <c r="B102" s="793"/>
      <c r="C102" s="811"/>
      <c r="D102" s="816">
        <v>1</v>
      </c>
      <c r="E102" s="812" t="s">
        <v>402</v>
      </c>
      <c r="F102" s="812"/>
      <c r="G102" s="813"/>
      <c r="H102" s="797">
        <f>RAB!H100</f>
        <v>30.5</v>
      </c>
      <c r="I102" s="797" t="str">
        <f>RAB!I100</f>
        <v>M2</v>
      </c>
      <c r="J102" s="797" t="str">
        <f>RAB!J100</f>
        <v>A.4.4.2.4.</v>
      </c>
      <c r="K102" s="804" t="str">
        <f>VLOOKUP(J102,RKPANL!B:D,2,0)</f>
        <v>Pemasangan 1 m2 plesteran 1SP : 4PP tebal 15 mm</v>
      </c>
      <c r="L102" s="800">
        <f>VLOOKUP(J102,RKPANL!B:D,3,0)</f>
        <v>92152.95</v>
      </c>
      <c r="M102" s="1061">
        <f>L102*H102</f>
        <v>2810664.9750000001</v>
      </c>
      <c r="N102" s="800"/>
      <c r="O102" s="1127">
        <v>0.98499999999999999</v>
      </c>
      <c r="P102" s="800">
        <f>M102*O102</f>
        <v>2768505.0003749998</v>
      </c>
      <c r="Q102" s="1068">
        <f>M102-P102</f>
        <v>42159.974625000264</v>
      </c>
    </row>
    <row r="103" spans="2:17" ht="15.6" outlineLevel="2">
      <c r="B103" s="793"/>
      <c r="C103" s="811"/>
      <c r="D103" s="816">
        <v>2</v>
      </c>
      <c r="E103" s="812" t="s">
        <v>403</v>
      </c>
      <c r="F103" s="812"/>
      <c r="G103" s="813"/>
      <c r="H103" s="797">
        <f>RAB!H101</f>
        <v>30.5</v>
      </c>
      <c r="I103" s="797" t="str">
        <f>RAB!I101</f>
        <v>M2</v>
      </c>
      <c r="J103" s="797" t="str">
        <f>RAB!J101</f>
        <v>A.4.4.2.27.</v>
      </c>
      <c r="K103" s="804" t="str">
        <f>VLOOKUP(J103,RKPANL!B:D,2,0)</f>
        <v>Pemasangan 1 m2 acian.</v>
      </c>
      <c r="L103" s="800">
        <f>VLOOKUP(J103,RKPANL!B:D,3,0)</f>
        <v>56896.25</v>
      </c>
      <c r="M103" s="1061">
        <f>L103*H103</f>
        <v>1735335.625</v>
      </c>
      <c r="N103" s="800"/>
      <c r="O103" s="1127">
        <v>0.99009999999999998</v>
      </c>
      <c r="P103" s="800">
        <f>M103*O103</f>
        <v>1718155.8023125001</v>
      </c>
      <c r="Q103" s="1068">
        <f>M103-P103</f>
        <v>17179.822687499924</v>
      </c>
    </row>
    <row r="104" spans="2:17" outlineLevel="2">
      <c r="B104" s="793"/>
      <c r="C104" s="802"/>
      <c r="D104" s="794"/>
      <c r="E104" s="795"/>
      <c r="F104" s="795"/>
      <c r="G104" s="796"/>
      <c r="H104" s="797"/>
      <c r="I104" s="798"/>
      <c r="J104" s="798"/>
      <c r="K104" s="841"/>
      <c r="L104" s="800"/>
      <c r="M104" s="1061"/>
      <c r="N104" s="800"/>
      <c r="O104" s="841"/>
      <c r="P104" s="800"/>
      <c r="Q104" s="1068"/>
    </row>
    <row r="105" spans="2:17" ht="15.6" outlineLevel="1">
      <c r="B105" s="1093"/>
      <c r="C105" s="1094"/>
      <c r="D105" s="1094"/>
      <c r="E105" s="1094"/>
      <c r="F105" s="1094"/>
      <c r="G105" s="1094"/>
      <c r="H105" s="1095"/>
      <c r="I105" s="1094"/>
      <c r="J105" s="1094"/>
      <c r="K105" s="1095"/>
      <c r="L105" s="1099"/>
      <c r="M105" s="1100" t="s">
        <v>46</v>
      </c>
      <c r="N105" s="1096">
        <f>SUM(M102:M103)</f>
        <v>4546000.5999999996</v>
      </c>
      <c r="O105" s="1123"/>
      <c r="P105" s="1096">
        <f>SUM(P102:P104)</f>
        <v>4486660.8026874997</v>
      </c>
      <c r="Q105" s="1101">
        <f>SUM(Q102:Q104)</f>
        <v>59339.797312500188</v>
      </c>
    </row>
    <row r="106" spans="2:17" ht="15.6" outlineLevel="1">
      <c r="B106" s="880"/>
      <c r="C106" s="1187" t="s">
        <v>18</v>
      </c>
      <c r="D106" s="696" t="s">
        <v>400</v>
      </c>
      <c r="E106" s="875"/>
      <c r="F106" s="795"/>
      <c r="G106" s="796"/>
      <c r="H106" s="797"/>
      <c r="I106" s="798"/>
      <c r="J106" s="798"/>
      <c r="K106" s="895"/>
      <c r="L106" s="877"/>
      <c r="M106" s="1060"/>
      <c r="N106" s="877"/>
      <c r="O106" s="895"/>
      <c r="P106" s="877"/>
      <c r="Q106" s="1067"/>
    </row>
    <row r="107" spans="2:17" ht="15.6" outlineLevel="2">
      <c r="B107" s="793"/>
      <c r="C107" s="811"/>
      <c r="D107" s="816">
        <v>1</v>
      </c>
      <c r="E107" s="812" t="s">
        <v>444</v>
      </c>
      <c r="F107" s="812"/>
      <c r="G107" s="813"/>
      <c r="H107" s="797">
        <f>RAB!H105</f>
        <v>4066.28</v>
      </c>
      <c r="I107" s="797" t="str">
        <f>RAB!I105</f>
        <v>M2</v>
      </c>
      <c r="J107" s="797" t="str">
        <f>RAB!J105</f>
        <v>Hit.Aci.Scrd.</v>
      </c>
      <c r="K107" s="804" t="str">
        <f>VLOOKUP(J107,RKPANL!B:D,2,0)</f>
        <v>Pemasangan 1 m2 Acian /Screed Perbaikan Permukaan Beton</v>
      </c>
      <c r="L107" s="800">
        <f>VLOOKUP(J107,RKPANL!B:D,3,0)</f>
        <v>83317.5</v>
      </c>
      <c r="M107" s="1061">
        <f>L107*H107</f>
        <v>338792283.90000004</v>
      </c>
      <c r="N107" s="800"/>
      <c r="O107" s="1127">
        <v>0.99150000000000005</v>
      </c>
      <c r="P107" s="800">
        <f>M107*O107</f>
        <v>335912549.48685002</v>
      </c>
      <c r="Q107" s="1068">
        <f>M107-P107</f>
        <v>2879734.4131500125</v>
      </c>
    </row>
    <row r="108" spans="2:17" ht="15.6" outlineLevel="2">
      <c r="B108" s="793"/>
      <c r="C108" s="811"/>
      <c r="D108" s="816">
        <v>2</v>
      </c>
      <c r="E108" s="812" t="s">
        <v>707</v>
      </c>
      <c r="F108" s="812"/>
      <c r="G108" s="813"/>
      <c r="H108" s="797">
        <f>RAB!H106</f>
        <v>2355</v>
      </c>
      <c r="I108" s="797" t="str">
        <f>RAB!I106</f>
        <v>M2</v>
      </c>
      <c r="J108" s="797" t="str">
        <f>RAB!J106</f>
        <v>Hit.Epoxy.02</v>
      </c>
      <c r="K108" s="804" t="str">
        <f>VLOOKUP(J108,RKPANL!B:D,2,0)</f>
        <v>Pengecatan 1 m2 permukaan lantai dengan Epoxy 1000 micron</v>
      </c>
      <c r="L108" s="800">
        <f>VLOOKUP(J108,RKPANL!B:D,3,0)</f>
        <v>652015.5</v>
      </c>
      <c r="M108" s="1061">
        <f>L108*H108</f>
        <v>1535496502.5</v>
      </c>
      <c r="N108" s="800"/>
      <c r="O108" s="1127">
        <v>0.14199999999999999</v>
      </c>
      <c r="P108" s="800">
        <f>M108*O108</f>
        <v>218040503.35499999</v>
      </c>
      <c r="Q108" s="1068">
        <f>M108-P108</f>
        <v>1317455999.145</v>
      </c>
    </row>
    <row r="109" spans="2:17" ht="15.6" outlineLevel="2">
      <c r="B109" s="793"/>
      <c r="C109" s="802"/>
      <c r="D109" s="794">
        <v>3</v>
      </c>
      <c r="E109" s="795" t="s">
        <v>925</v>
      </c>
      <c r="F109" s="795"/>
      <c r="G109" s="817"/>
      <c r="H109" s="797">
        <f>RAB!H107</f>
        <v>236.18000000000004</v>
      </c>
      <c r="I109" s="797" t="str">
        <f>RAB!I107</f>
        <v>M2</v>
      </c>
      <c r="J109" s="797" t="str">
        <f>RAB!J107</f>
        <v>Hit.Epoxy.01</v>
      </c>
      <c r="K109" s="804" t="str">
        <f>VLOOKUP(J109,RKPANL!B:D,2,0)</f>
        <v>Pengecatan 1 m2 permukaan lantai dengan Epoxy 500 micron</v>
      </c>
      <c r="L109" s="800">
        <f>VLOOKUP(J109,RKPANL!B:D,3,0)</f>
        <v>326007.75</v>
      </c>
      <c r="M109" s="1061">
        <f>L109*H109</f>
        <v>76996510.395000011</v>
      </c>
      <c r="N109" s="800"/>
      <c r="O109" s="1127">
        <v>0.14199999999999999</v>
      </c>
      <c r="P109" s="800">
        <f>M109*O109</f>
        <v>10933504.476090001</v>
      </c>
      <c r="Q109" s="1068">
        <f>M109-P109</f>
        <v>66063005.918910012</v>
      </c>
    </row>
    <row r="110" spans="2:17" outlineLevel="2">
      <c r="B110" s="793"/>
      <c r="C110" s="802"/>
      <c r="D110" s="794"/>
      <c r="E110" s="795"/>
      <c r="F110" s="795"/>
      <c r="G110" s="796"/>
      <c r="H110" s="797"/>
      <c r="I110" s="798"/>
      <c r="J110" s="798"/>
      <c r="K110" s="841"/>
      <c r="L110" s="800"/>
      <c r="M110" s="1061"/>
      <c r="N110" s="800"/>
      <c r="O110" s="841"/>
      <c r="P110" s="800"/>
      <c r="Q110" s="1068"/>
    </row>
    <row r="111" spans="2:17" ht="15.6" outlineLevel="1">
      <c r="B111" s="1093"/>
      <c r="C111" s="1094"/>
      <c r="D111" s="1094"/>
      <c r="E111" s="1094"/>
      <c r="F111" s="1094"/>
      <c r="G111" s="1094"/>
      <c r="H111" s="1095"/>
      <c r="I111" s="1094"/>
      <c r="J111" s="1094"/>
      <c r="K111" s="1095"/>
      <c r="L111" s="1099"/>
      <c r="M111" s="1100" t="s">
        <v>46</v>
      </c>
      <c r="N111" s="1096">
        <f>SUM(M107:M109)</f>
        <v>1951285296.7950001</v>
      </c>
      <c r="O111" s="1123"/>
      <c r="P111" s="1096">
        <f>SUM(P107:P110)</f>
        <v>564886557.31794</v>
      </c>
      <c r="Q111" s="1101">
        <f>SUM(Q107:Q110)</f>
        <v>1386398739.4770601</v>
      </c>
    </row>
    <row r="112" spans="2:17" ht="15.6" outlineLevel="1">
      <c r="B112" s="880"/>
      <c r="C112" s="1187" t="s">
        <v>19</v>
      </c>
      <c r="D112" s="696" t="s">
        <v>353</v>
      </c>
      <c r="E112" s="875"/>
      <c r="F112" s="795"/>
      <c r="G112" s="796"/>
      <c r="H112" s="797"/>
      <c r="I112" s="798"/>
      <c r="J112" s="798"/>
      <c r="K112" s="895"/>
      <c r="L112" s="877"/>
      <c r="M112" s="1060"/>
      <c r="N112" s="877"/>
      <c r="O112" s="895"/>
      <c r="P112" s="877"/>
      <c r="Q112" s="1067"/>
    </row>
    <row r="113" spans="2:19" outlineLevel="2">
      <c r="B113" s="793"/>
      <c r="C113" s="802"/>
      <c r="D113" s="794">
        <v>1</v>
      </c>
      <c r="E113" s="845" t="s">
        <v>401</v>
      </c>
      <c r="F113" s="846"/>
      <c r="G113" s="847"/>
      <c r="H113" s="797">
        <f>RAB!H111</f>
        <v>50</v>
      </c>
      <c r="I113" s="797" t="str">
        <f>RAB!I111</f>
        <v>Unit</v>
      </c>
      <c r="J113" s="797" t="str">
        <f>RAB!J111</f>
        <v>Hit. EL.6</v>
      </c>
      <c r="K113" s="804" t="str">
        <f>VLOOKUP(J113,RKPANL!B:D,2,0)</f>
        <v>Pasang 1 Set Armature TKO V  LED 2 x 16 watt</v>
      </c>
      <c r="L113" s="800">
        <f>VLOOKUP(J113,RKPANL!B:D,3,0)</f>
        <v>436913.75</v>
      </c>
      <c r="M113" s="1061">
        <f>L113*H113</f>
        <v>21845687.5</v>
      </c>
      <c r="N113" s="800"/>
      <c r="O113" s="1127">
        <v>1</v>
      </c>
      <c r="P113" s="800">
        <f>M113*O113</f>
        <v>21845687.5</v>
      </c>
      <c r="Q113" s="1068">
        <f>M113-P113</f>
        <v>0</v>
      </c>
    </row>
    <row r="114" spans="2:19" outlineLevel="2">
      <c r="B114" s="793"/>
      <c r="C114" s="802"/>
      <c r="D114" s="794"/>
      <c r="E114" s="795"/>
      <c r="F114" s="795"/>
      <c r="G114" s="796"/>
      <c r="H114" s="797"/>
      <c r="I114" s="798"/>
      <c r="J114" s="798"/>
      <c r="K114" s="841"/>
      <c r="L114" s="800"/>
      <c r="M114" s="1061"/>
      <c r="N114" s="800"/>
      <c r="O114" s="841"/>
      <c r="P114" s="800"/>
      <c r="Q114" s="1068"/>
    </row>
    <row r="115" spans="2:19" ht="15.6" outlineLevel="1">
      <c r="B115" s="1093"/>
      <c r="C115" s="1094"/>
      <c r="D115" s="1094"/>
      <c r="E115" s="1094"/>
      <c r="F115" s="1094"/>
      <c r="G115" s="1094"/>
      <c r="H115" s="1095"/>
      <c r="I115" s="1094"/>
      <c r="J115" s="1094"/>
      <c r="K115" s="1095"/>
      <c r="L115" s="1099"/>
      <c r="M115" s="1100" t="s">
        <v>55</v>
      </c>
      <c r="N115" s="1096">
        <f>SUM(M113)</f>
        <v>21845687.5</v>
      </c>
      <c r="O115" s="1123"/>
      <c r="P115" s="1096">
        <f>SUM(P113:P114)</f>
        <v>21845687.5</v>
      </c>
      <c r="Q115" s="1101">
        <f>SUM(Q113:Q114)</f>
        <v>0</v>
      </c>
    </row>
    <row r="116" spans="2:19" ht="15.6" outlineLevel="1">
      <c r="B116" s="880"/>
      <c r="C116" s="1187" t="s">
        <v>404</v>
      </c>
      <c r="D116" s="696" t="s">
        <v>59</v>
      </c>
      <c r="E116" s="875"/>
      <c r="F116" s="795"/>
      <c r="G116" s="796"/>
      <c r="H116" s="797"/>
      <c r="I116" s="798"/>
      <c r="J116" s="798"/>
      <c r="K116" s="895"/>
      <c r="L116" s="877"/>
      <c r="M116" s="1060"/>
      <c r="N116" s="877"/>
      <c r="O116" s="895"/>
      <c r="P116" s="877"/>
      <c r="Q116" s="1067"/>
    </row>
    <row r="117" spans="2:19" ht="15.6" outlineLevel="2">
      <c r="B117" s="793"/>
      <c r="C117" s="802"/>
      <c r="D117" s="794">
        <v>1</v>
      </c>
      <c r="E117" s="795" t="s">
        <v>708</v>
      </c>
      <c r="F117" s="795"/>
      <c r="G117" s="817"/>
      <c r="H117" s="797">
        <f>RAB!H115</f>
        <v>1677.6000000000001</v>
      </c>
      <c r="I117" s="797" t="str">
        <f>RAB!I115</f>
        <v>M2</v>
      </c>
      <c r="J117" s="797" t="str">
        <f>RAB!J115</f>
        <v>A.4.7.1.11.</v>
      </c>
      <c r="K117" s="804" t="str">
        <f>VLOOKUP(J117,RKPANL!B:D,2,0)</f>
        <v>Pengecatan 1 m2 Tembok Lama (1 Lapis Cat Dasar, 2 Lapis Cat 
Penutup) 
lapis cat penutup)</v>
      </c>
      <c r="L117" s="800">
        <f>VLOOKUP(J117,RKPANL!B:D,3,0)</f>
        <v>43204.35</v>
      </c>
      <c r="M117" s="1061">
        <f>L117*H117</f>
        <v>72479617.560000002</v>
      </c>
      <c r="N117" s="800"/>
      <c r="O117" s="1127">
        <v>0.70269999999999999</v>
      </c>
      <c r="P117" s="800">
        <f>M117*O117</f>
        <v>50931427.259411998</v>
      </c>
      <c r="Q117" s="1068">
        <f>M117-P117</f>
        <v>21548190.300588004</v>
      </c>
    </row>
    <row r="118" spans="2:19" ht="15.6" outlineLevel="2">
      <c r="B118" s="793"/>
      <c r="C118" s="802"/>
      <c r="D118" s="794">
        <f>D117+1</f>
        <v>2</v>
      </c>
      <c r="E118" s="795" t="s">
        <v>709</v>
      </c>
      <c r="F118" s="795"/>
      <c r="G118" s="817"/>
      <c r="H118" s="797">
        <f>RAB!H116</f>
        <v>4066.28</v>
      </c>
      <c r="I118" s="797" t="str">
        <f>RAB!I116</f>
        <v>M2</v>
      </c>
      <c r="J118" s="797" t="str">
        <f>RAB!J116</f>
        <v>A.4.7.1.11.</v>
      </c>
      <c r="K118" s="804" t="str">
        <f>VLOOKUP(J118,RKPANL!B:D,2,0)</f>
        <v>Pengecatan 1 m2 Tembok Lama (1 Lapis Cat Dasar, 2 Lapis Cat 
Penutup) 
lapis cat penutup)</v>
      </c>
      <c r="L118" s="800">
        <f>VLOOKUP(J118,RKPANL!B:D,3,0)</f>
        <v>43204.35</v>
      </c>
      <c r="M118" s="1061">
        <f>L118*H118</f>
        <v>175680984.31799999</v>
      </c>
      <c r="N118" s="800"/>
      <c r="O118" s="1127">
        <v>0.70269999999999999</v>
      </c>
      <c r="P118" s="800">
        <f>M118*O118</f>
        <v>123451027.68025859</v>
      </c>
      <c r="Q118" s="1068">
        <f>M118-P118</f>
        <v>52229956.637741402</v>
      </c>
    </row>
    <row r="119" spans="2:19" ht="15.6" outlineLevel="2">
      <c r="B119" s="793"/>
      <c r="C119" s="802"/>
      <c r="D119" s="794">
        <v>2</v>
      </c>
      <c r="E119" s="795" t="s">
        <v>898</v>
      </c>
      <c r="F119" s="795"/>
      <c r="G119" s="817"/>
      <c r="H119" s="797">
        <f>RAB!H117</f>
        <v>43.92</v>
      </c>
      <c r="I119" s="797" t="str">
        <f>RAB!I117</f>
        <v>M2</v>
      </c>
      <c r="J119" s="797" t="str">
        <f>RAB!J117</f>
        <v>A.4.7.1.11.</v>
      </c>
      <c r="K119" s="804" t="str">
        <f>VLOOKUP(J119,RKPANL!B:D,2,0)</f>
        <v>Pengecatan 1 m2 Tembok Lama (1 Lapis Cat Dasar, 2 Lapis Cat 
Penutup) 
lapis cat penutup)</v>
      </c>
      <c r="L119" s="800">
        <f>VLOOKUP(J119,RKPANL!B:D,3,0)</f>
        <v>43204.35</v>
      </c>
      <c r="M119" s="1061">
        <f>L119*H119</f>
        <v>1897535.0519999999</v>
      </c>
      <c r="N119" s="800"/>
      <c r="O119" s="1127">
        <v>0.70269999999999999</v>
      </c>
      <c r="P119" s="800">
        <f>M119*O119</f>
        <v>1333397.8810403999</v>
      </c>
      <c r="Q119" s="1068">
        <f>M119-P119</f>
        <v>564137.17095960001</v>
      </c>
    </row>
    <row r="120" spans="2:19" outlineLevel="2">
      <c r="B120" s="793"/>
      <c r="C120" s="802"/>
      <c r="D120" s="794"/>
      <c r="E120" s="795"/>
      <c r="F120" s="795"/>
      <c r="G120" s="796"/>
      <c r="H120" s="797"/>
      <c r="I120" s="798"/>
      <c r="J120" s="798"/>
      <c r="K120" s="806"/>
      <c r="L120" s="800"/>
      <c r="M120" s="1061"/>
      <c r="N120" s="800"/>
      <c r="O120" s="841"/>
      <c r="P120" s="800"/>
      <c r="Q120" s="1068"/>
    </row>
    <row r="121" spans="2:19" ht="15.6" outlineLevel="1">
      <c r="B121" s="1093"/>
      <c r="C121" s="1094"/>
      <c r="D121" s="1094"/>
      <c r="E121" s="1094"/>
      <c r="F121" s="1094"/>
      <c r="G121" s="1094"/>
      <c r="H121" s="1095"/>
      <c r="I121" s="1094"/>
      <c r="J121" s="1094"/>
      <c r="K121" s="1095"/>
      <c r="L121" s="1099"/>
      <c r="M121" s="1100" t="s">
        <v>362</v>
      </c>
      <c r="N121" s="1096">
        <f>SUM(M117:M119)</f>
        <v>250058136.92999998</v>
      </c>
      <c r="O121" s="1123"/>
      <c r="P121" s="1096">
        <f>SUM(P117:P120)</f>
        <v>175715852.82071099</v>
      </c>
      <c r="Q121" s="1101">
        <f>SUM(Q117:Q120)</f>
        <v>74342284.109289005</v>
      </c>
    </row>
    <row r="122" spans="2:19" s="1098" customFormat="1" ht="21.6" customHeight="1">
      <c r="B122" s="1102"/>
      <c r="C122" s="1103"/>
      <c r="D122" s="1103"/>
      <c r="E122" s="1103"/>
      <c r="F122" s="1103"/>
      <c r="G122" s="1103"/>
      <c r="H122" s="1104"/>
      <c r="I122" s="1103"/>
      <c r="J122" s="1103"/>
      <c r="K122" s="1272" t="s">
        <v>358</v>
      </c>
      <c r="L122" s="1272"/>
      <c r="M122" s="1105"/>
      <c r="N122" s="1106">
        <f>SUM(N85:N121)</f>
        <v>2966102123.5362859</v>
      </c>
      <c r="O122" s="1124"/>
      <c r="P122" s="1106">
        <f t="shared" ref="P122:Q122" si="19">SUM(P85:P121)/2</f>
        <v>1374195728.4424555</v>
      </c>
      <c r="Q122" s="1186">
        <f t="shared" si="19"/>
        <v>1591906395.0938306</v>
      </c>
      <c r="S122" s="1114">
        <f>P122+Q122</f>
        <v>2966102123.5362864</v>
      </c>
    </row>
    <row r="123" spans="2:19" ht="15.6">
      <c r="B123" s="851" t="s">
        <v>162</v>
      </c>
      <c r="C123" s="1185" t="s">
        <v>356</v>
      </c>
      <c r="E123" s="875"/>
      <c r="F123" s="795"/>
      <c r="G123" s="796"/>
      <c r="H123" s="797"/>
      <c r="I123" s="798"/>
      <c r="J123" s="798"/>
      <c r="K123" s="876"/>
      <c r="L123" s="877"/>
      <c r="M123" s="1060"/>
      <c r="N123" s="877"/>
      <c r="O123" s="895"/>
      <c r="P123" s="877"/>
      <c r="Q123" s="1067"/>
    </row>
    <row r="124" spans="2:19" ht="15.6" outlineLevel="1">
      <c r="B124" s="880"/>
      <c r="C124" s="1187" t="s">
        <v>819</v>
      </c>
      <c r="D124" s="696" t="s">
        <v>368</v>
      </c>
      <c r="E124" s="875"/>
      <c r="F124" s="795"/>
      <c r="G124" s="796"/>
      <c r="H124" s="797"/>
      <c r="I124" s="798"/>
      <c r="J124" s="798"/>
      <c r="K124" s="882"/>
      <c r="L124" s="877"/>
      <c r="M124" s="1060"/>
      <c r="N124" s="877"/>
      <c r="O124" s="895"/>
      <c r="P124" s="877"/>
      <c r="Q124" s="1067"/>
    </row>
    <row r="125" spans="2:19" ht="15.6" outlineLevel="2">
      <c r="B125" s="793"/>
      <c r="C125" s="848" t="s">
        <v>2</v>
      </c>
      <c r="D125" s="696" t="s">
        <v>349</v>
      </c>
      <c r="E125" s="849"/>
      <c r="F125" s="795"/>
      <c r="G125" s="796"/>
      <c r="H125" s="797"/>
      <c r="I125" s="798"/>
      <c r="J125" s="798"/>
      <c r="K125" s="804"/>
      <c r="L125" s="800"/>
      <c r="M125" s="1061"/>
      <c r="N125" s="800"/>
      <c r="O125" s="841"/>
      <c r="P125" s="800"/>
      <c r="Q125" s="1068"/>
    </row>
    <row r="126" spans="2:19" ht="15.6" outlineLevel="2">
      <c r="B126" s="793"/>
      <c r="C126" s="848"/>
      <c r="D126" s="794">
        <v>1</v>
      </c>
      <c r="E126" s="795" t="s">
        <v>899</v>
      </c>
      <c r="F126" s="795"/>
      <c r="G126" s="796"/>
      <c r="H126" s="797">
        <f>RAB!H124</f>
        <v>1</v>
      </c>
      <c r="I126" s="797" t="str">
        <f>RAB!I124</f>
        <v>Ls</v>
      </c>
      <c r="J126" s="797" t="str">
        <f>RAB!J124</f>
        <v>Taksir</v>
      </c>
      <c r="K126" s="804" t="e">
        <f>VLOOKUP(J126,RKPANL!B:D,2,0)</f>
        <v>#N/A</v>
      </c>
      <c r="L126" s="800">
        <f>RAB!L124</f>
        <v>2000000</v>
      </c>
      <c r="M126" s="1061">
        <f>L126*H126</f>
        <v>2000000</v>
      </c>
      <c r="N126" s="800"/>
      <c r="O126" s="1127">
        <v>1</v>
      </c>
      <c r="P126" s="800">
        <f>M126*O126</f>
        <v>2000000</v>
      </c>
      <c r="Q126" s="1068">
        <f>M126-P126</f>
        <v>0</v>
      </c>
    </row>
    <row r="127" spans="2:19" ht="15.6" outlineLevel="2">
      <c r="B127" s="793"/>
      <c r="C127" s="848"/>
      <c r="D127" s="794">
        <v>2</v>
      </c>
      <c r="E127" s="795" t="s">
        <v>415</v>
      </c>
      <c r="F127" s="795"/>
      <c r="G127" s="796"/>
      <c r="H127" s="797">
        <f>RAB!H125</f>
        <v>1</v>
      </c>
      <c r="I127" s="797" t="str">
        <f>RAB!I125</f>
        <v>Ls</v>
      </c>
      <c r="J127" s="797" t="str">
        <f>RAB!J125</f>
        <v>Taksir</v>
      </c>
      <c r="K127" s="804" t="e">
        <f>VLOOKUP(J127,RKPANL!B:D,2,0)</f>
        <v>#N/A</v>
      </c>
      <c r="L127" s="800">
        <f>RAB!L125</f>
        <v>1500000</v>
      </c>
      <c r="M127" s="1061">
        <f>L127*H127</f>
        <v>1500000</v>
      </c>
      <c r="N127" s="800"/>
      <c r="O127" s="1127">
        <v>1</v>
      </c>
      <c r="P127" s="800">
        <f>M127*O127</f>
        <v>1500000</v>
      </c>
      <c r="Q127" s="1068">
        <f>M127-P127</f>
        <v>0</v>
      </c>
    </row>
    <row r="128" spans="2:19" ht="15.6" outlineLevel="2">
      <c r="B128" s="793"/>
      <c r="C128" s="848"/>
      <c r="D128" s="794"/>
      <c r="E128" s="812"/>
      <c r="F128" s="795"/>
      <c r="G128" s="796"/>
      <c r="H128" s="797"/>
      <c r="I128" s="798"/>
      <c r="J128" s="798"/>
      <c r="K128" s="804"/>
      <c r="L128" s="800"/>
      <c r="M128" s="1061"/>
      <c r="N128" s="800"/>
      <c r="O128" s="837"/>
      <c r="P128" s="800"/>
      <c r="Q128" s="1068"/>
    </row>
    <row r="129" spans="2:17" ht="15.6" outlineLevel="2">
      <c r="B129" s="793"/>
      <c r="C129" s="848" t="s">
        <v>16</v>
      </c>
      <c r="D129" s="696" t="s">
        <v>400</v>
      </c>
      <c r="E129" s="849"/>
      <c r="F129" s="795"/>
      <c r="G129" s="796"/>
      <c r="H129" s="797"/>
      <c r="I129" s="798"/>
      <c r="J129" s="798"/>
      <c r="K129" s="804"/>
      <c r="L129" s="800"/>
      <c r="M129" s="1061"/>
      <c r="N129" s="800"/>
      <c r="O129" s="837"/>
      <c r="P129" s="800"/>
      <c r="Q129" s="1068"/>
    </row>
    <row r="130" spans="2:17" ht="15.6" outlineLevel="2">
      <c r="B130" s="793"/>
      <c r="C130" s="848"/>
      <c r="D130" s="794">
        <v>1</v>
      </c>
      <c r="E130" s="795" t="s">
        <v>420</v>
      </c>
      <c r="F130" s="795"/>
      <c r="G130" s="796"/>
      <c r="H130" s="797">
        <f>RAB!H128</f>
        <v>5</v>
      </c>
      <c r="I130" s="797" t="str">
        <f>RAB!I128</f>
        <v>M2</v>
      </c>
      <c r="J130" s="797" t="str">
        <f>RAB!J128</f>
        <v>A.4.4.3.35.</v>
      </c>
      <c r="K130" s="804" t="str">
        <f>VLOOKUP(J130,RKPANL!B:D,2,0)</f>
        <v>Pemasangan 1m2 lantai keramik ukuran 40cm x 40cm</v>
      </c>
      <c r="L130" s="800">
        <f>VLOOKUP(J130,RKPANL!B:D,3,0)</f>
        <v>309005</v>
      </c>
      <c r="M130" s="1061">
        <f>L130*H130</f>
        <v>1545025</v>
      </c>
      <c r="N130" s="800"/>
      <c r="O130" s="1127">
        <v>1</v>
      </c>
      <c r="P130" s="800">
        <f>M130*O130</f>
        <v>1545025</v>
      </c>
      <c r="Q130" s="1068">
        <f>M130-P130</f>
        <v>0</v>
      </c>
    </row>
    <row r="131" spans="2:17" ht="15.6" outlineLevel="2">
      <c r="B131" s="793"/>
      <c r="C131" s="848"/>
      <c r="D131" s="794">
        <v>2</v>
      </c>
      <c r="E131" s="795" t="s">
        <v>421</v>
      </c>
      <c r="F131" s="795"/>
      <c r="G131" s="796"/>
      <c r="H131" s="797">
        <f>RAB!H129</f>
        <v>5</v>
      </c>
      <c r="I131" s="797" t="str">
        <f>RAB!I129</f>
        <v>M2</v>
      </c>
      <c r="J131" s="797" t="str">
        <f>RAB!J129</f>
        <v>A.4.4.3.36.</v>
      </c>
      <c r="K131" s="804" t="str">
        <f>VLOOKUP(J131,RKPANL!B:D,2,0)</f>
        <v>Pemasangan 1 m2 dinding keramik uk 20 cm x 40 cm</v>
      </c>
      <c r="L131" s="800">
        <f>VLOOKUP(J131,RKPANL!B:D,3,0)</f>
        <v>371622.5</v>
      </c>
      <c r="M131" s="1061">
        <f>L131*H131</f>
        <v>1858112.5</v>
      </c>
      <c r="N131" s="800"/>
      <c r="O131" s="1127">
        <v>1</v>
      </c>
      <c r="P131" s="800">
        <f>M131*O131</f>
        <v>1858112.5</v>
      </c>
      <c r="Q131" s="1068">
        <f>M131-P131</f>
        <v>0</v>
      </c>
    </row>
    <row r="132" spans="2:17" ht="15.6" outlineLevel="2">
      <c r="B132" s="793"/>
      <c r="C132" s="848"/>
      <c r="D132" s="794"/>
      <c r="E132" s="795"/>
      <c r="F132" s="795"/>
      <c r="G132" s="796"/>
      <c r="H132" s="797"/>
      <c r="I132" s="798"/>
      <c r="J132" s="798"/>
      <c r="K132" s="804"/>
      <c r="L132" s="800"/>
      <c r="M132" s="1061"/>
      <c r="N132" s="800"/>
      <c r="O132" s="841"/>
      <c r="P132" s="800"/>
      <c r="Q132" s="1068"/>
    </row>
    <row r="133" spans="2:17" ht="15.6" outlineLevel="2">
      <c r="B133" s="793"/>
      <c r="C133" s="848" t="s">
        <v>17</v>
      </c>
      <c r="D133" s="696" t="s">
        <v>353</v>
      </c>
      <c r="E133" s="849"/>
      <c r="F133" s="795"/>
      <c r="G133" s="796"/>
      <c r="H133" s="797"/>
      <c r="I133" s="798"/>
      <c r="J133" s="798"/>
      <c r="K133" s="804"/>
      <c r="L133" s="800"/>
      <c r="M133" s="1061"/>
      <c r="N133" s="800"/>
      <c r="O133" s="841"/>
      <c r="P133" s="800"/>
      <c r="Q133" s="1068"/>
    </row>
    <row r="134" spans="2:17" ht="15.6" outlineLevel="2">
      <c r="B134" s="793"/>
      <c r="C134" s="848"/>
      <c r="D134" s="850">
        <v>1</v>
      </c>
      <c r="E134" s="845" t="s">
        <v>900</v>
      </c>
      <c r="F134" s="795"/>
      <c r="G134" s="796"/>
      <c r="H134" s="797">
        <f>RAB!H132</f>
        <v>15</v>
      </c>
      <c r="I134" s="797" t="str">
        <f>RAB!I132</f>
        <v>Titik</v>
      </c>
      <c r="J134" s="797" t="str">
        <f>RAB!J132</f>
        <v>Hit. EL.1</v>
      </c>
      <c r="K134" s="804" t="str">
        <f>VLOOKUP(J134,RKPANL!B:D,2,0)</f>
        <v>Pasang 1 Titik Instalasi Penerangan dan Stop Kontak dengan Kabel NYA 2x2,5 mm</v>
      </c>
      <c r="L134" s="800">
        <f>VLOOKUP(J134,RKPANL!B:D,3,0)</f>
        <v>232084.375</v>
      </c>
      <c r="M134" s="1061">
        <f>L134*H134</f>
        <v>3481265.625</v>
      </c>
      <c r="N134" s="800"/>
      <c r="O134" s="1127">
        <v>0.95079999999999998</v>
      </c>
      <c r="P134" s="800">
        <f>M134*O134</f>
        <v>3309987.3562499997</v>
      </c>
      <c r="Q134" s="1068">
        <f>M134-P134</f>
        <v>171278.26875000028</v>
      </c>
    </row>
    <row r="135" spans="2:17" ht="15.6" outlineLevel="2">
      <c r="B135" s="793"/>
      <c r="C135" s="848"/>
      <c r="D135" s="850">
        <v>2</v>
      </c>
      <c r="E135" s="845" t="s">
        <v>842</v>
      </c>
      <c r="F135" s="795"/>
      <c r="G135" s="796"/>
      <c r="H135" s="797">
        <f>RAB!H133</f>
        <v>15</v>
      </c>
      <c r="I135" s="797" t="str">
        <f>RAB!I133</f>
        <v>Unit</v>
      </c>
      <c r="J135" s="797" t="str">
        <f>RAB!J133</f>
        <v>Hit. EL.7</v>
      </c>
      <c r="K135" s="804" t="str">
        <f>VLOOKUP(J135,RKPANL!B:D,2,0)</f>
        <v>Pasang 1 buah Lampu LED 7 watt + Fitting Down Light</v>
      </c>
      <c r="L135" s="800">
        <f>VLOOKUP(J135,RKPANL!B:D,3,0)</f>
        <v>121813.75</v>
      </c>
      <c r="M135" s="1061">
        <f>L135*H135</f>
        <v>1827206.25</v>
      </c>
      <c r="N135" s="800"/>
      <c r="O135" s="1127">
        <v>1</v>
      </c>
      <c r="P135" s="800">
        <f>M135*O135</f>
        <v>1827206.25</v>
      </c>
      <c r="Q135" s="1068">
        <f>M135-P135</f>
        <v>0</v>
      </c>
    </row>
    <row r="136" spans="2:17" ht="15.6" outlineLevel="2">
      <c r="B136" s="793"/>
      <c r="C136" s="848"/>
      <c r="D136" s="794"/>
      <c r="E136" s="795"/>
      <c r="F136" s="795"/>
      <c r="G136" s="796"/>
      <c r="H136" s="797"/>
      <c r="I136" s="798"/>
      <c r="J136" s="798"/>
      <c r="K136" s="804"/>
      <c r="L136" s="800"/>
      <c r="M136" s="1061"/>
      <c r="N136" s="800"/>
      <c r="O136" s="841"/>
      <c r="P136" s="800"/>
      <c r="Q136" s="1068"/>
    </row>
    <row r="137" spans="2:17" ht="15.6" outlineLevel="2">
      <c r="B137" s="793"/>
      <c r="C137" s="848" t="s">
        <v>18</v>
      </c>
      <c r="D137" s="696" t="s">
        <v>357</v>
      </c>
      <c r="E137" s="849"/>
      <c r="F137" s="795"/>
      <c r="G137" s="817"/>
      <c r="H137" s="797"/>
      <c r="I137" s="798"/>
      <c r="J137" s="798"/>
      <c r="K137" s="804"/>
      <c r="L137" s="800"/>
      <c r="M137" s="1061"/>
      <c r="N137" s="800"/>
      <c r="O137" s="841"/>
      <c r="P137" s="800"/>
      <c r="Q137" s="1068"/>
    </row>
    <row r="138" spans="2:17" ht="15.6" outlineLevel="2">
      <c r="B138" s="793"/>
      <c r="C138" s="848"/>
      <c r="D138" s="794">
        <v>1</v>
      </c>
      <c r="E138" s="846" t="s">
        <v>417</v>
      </c>
      <c r="F138" s="795"/>
      <c r="G138" s="817"/>
      <c r="H138" s="797">
        <f>RAB!H136</f>
        <v>25</v>
      </c>
      <c r="I138" s="797" t="str">
        <f>RAB!I136</f>
        <v>M'</v>
      </c>
      <c r="J138" s="797" t="str">
        <f>RAB!J136</f>
        <v>A.5.1.1 25.</v>
      </c>
      <c r="K138" s="804" t="str">
        <f>VLOOKUP(J138,RKPANL!B:D,2,0)</f>
        <v>Pemasangan 1 m’ pipa PVC tipe AW diameter ½ ”</v>
      </c>
      <c r="L138" s="800">
        <f>VLOOKUP(J138,RKPANL!B:D,3,0)</f>
        <v>41465.166666666672</v>
      </c>
      <c r="M138" s="1061">
        <f>L138*H138</f>
        <v>1036629.1666666667</v>
      </c>
      <c r="N138" s="800"/>
      <c r="O138" s="1127">
        <v>0.72660000000000002</v>
      </c>
      <c r="P138" s="800">
        <f>M138*O138</f>
        <v>753214.75250000006</v>
      </c>
      <c r="Q138" s="1068">
        <f>M138-P138</f>
        <v>283414.41416666668</v>
      </c>
    </row>
    <row r="139" spans="2:17" ht="15.6" outlineLevel="2">
      <c r="B139" s="793"/>
      <c r="C139" s="848"/>
      <c r="D139" s="794">
        <v>2</v>
      </c>
      <c r="E139" s="845" t="s">
        <v>416</v>
      </c>
      <c r="F139" s="795"/>
      <c r="G139" s="817"/>
      <c r="H139" s="797">
        <f>RAB!H137</f>
        <v>10</v>
      </c>
      <c r="I139" s="797" t="str">
        <f>RAB!I137</f>
        <v>Unit</v>
      </c>
      <c r="J139" s="797" t="str">
        <f>RAB!J137</f>
        <v>A.5.1.1.19.</v>
      </c>
      <c r="K139" s="804" t="str">
        <f>VLOOKUP(J139,RKPANL!B:D,2,0)</f>
        <v>Pemasangan 1 buah kran diameter ½” atau ¾ ”</v>
      </c>
      <c r="L139" s="800">
        <f>VLOOKUP(J139,RKPANL!B:D,3,0)</f>
        <v>141881.25</v>
      </c>
      <c r="M139" s="1061">
        <f>L139*H139</f>
        <v>1418812.5</v>
      </c>
      <c r="N139" s="800"/>
      <c r="O139" s="1127">
        <v>1</v>
      </c>
      <c r="P139" s="800">
        <f>M139*O139</f>
        <v>1418812.5</v>
      </c>
      <c r="Q139" s="1068">
        <f>M139-P139</f>
        <v>0</v>
      </c>
    </row>
    <row r="140" spans="2:17" ht="15.6" outlineLevel="2">
      <c r="B140" s="793"/>
      <c r="C140" s="848"/>
      <c r="D140" s="794">
        <v>3</v>
      </c>
      <c r="E140" s="846" t="s">
        <v>710</v>
      </c>
      <c r="F140" s="795"/>
      <c r="G140" s="817"/>
      <c r="H140" s="797">
        <f>RAB!H138</f>
        <v>10</v>
      </c>
      <c r="I140" s="797" t="str">
        <f>RAB!I138</f>
        <v>Unit</v>
      </c>
      <c r="J140" s="797" t="str">
        <f>RAB!J138</f>
        <v>A.5.1.1.14.</v>
      </c>
      <c r="K140" s="804" t="str">
        <f>VLOOKUP(J140,RKPANL!B:D,2,0)</f>
        <v>Pemasangan 1 buah floor drain</v>
      </c>
      <c r="L140" s="800">
        <f>VLOOKUP(J140,RKPANL!B:D,3,0)</f>
        <v>161028.75</v>
      </c>
      <c r="M140" s="1061">
        <f>L140*H140</f>
        <v>1610287.5</v>
      </c>
      <c r="N140" s="800"/>
      <c r="O140" s="1127">
        <v>0.60099999999999998</v>
      </c>
      <c r="P140" s="800">
        <f>M140*O140</f>
        <v>967782.78749999998</v>
      </c>
      <c r="Q140" s="1068">
        <f>M140-P140</f>
        <v>642504.71250000002</v>
      </c>
    </row>
    <row r="141" spans="2:17" ht="15.6" outlineLevel="2">
      <c r="B141" s="851"/>
      <c r="C141" s="848"/>
      <c r="D141" s="794"/>
      <c r="E141" s="794"/>
      <c r="F141" s="795"/>
      <c r="G141" s="817"/>
      <c r="H141" s="797"/>
      <c r="I141" s="797"/>
      <c r="J141" s="797"/>
      <c r="K141" s="804"/>
      <c r="L141" s="800"/>
      <c r="M141" s="1061"/>
      <c r="N141" s="800"/>
      <c r="O141" s="841"/>
      <c r="P141" s="800"/>
      <c r="Q141" s="1068"/>
    </row>
    <row r="142" spans="2:17" ht="15.6" outlineLevel="2">
      <c r="B142" s="793"/>
      <c r="C142" s="848" t="s">
        <v>19</v>
      </c>
      <c r="D142" s="696" t="s">
        <v>419</v>
      </c>
      <c r="E142" s="849"/>
      <c r="F142" s="795"/>
      <c r="G142" s="817"/>
      <c r="H142" s="797"/>
      <c r="I142" s="798"/>
      <c r="J142" s="798"/>
      <c r="K142" s="804"/>
      <c r="L142" s="800"/>
      <c r="M142" s="1061"/>
      <c r="N142" s="800"/>
      <c r="O142" s="841"/>
      <c r="P142" s="800"/>
      <c r="Q142" s="1068"/>
    </row>
    <row r="143" spans="2:17" ht="15.6" outlineLevel="2">
      <c r="B143" s="793"/>
      <c r="C143" s="848"/>
      <c r="D143" s="794">
        <v>1</v>
      </c>
      <c r="E143" s="846" t="s">
        <v>907</v>
      </c>
      <c r="F143" s="795"/>
      <c r="G143" s="817"/>
      <c r="H143" s="797">
        <f>RAB!H141</f>
        <v>5</v>
      </c>
      <c r="I143" s="797" t="str">
        <f>RAB!I141</f>
        <v>Unit</v>
      </c>
      <c r="J143" s="797" t="str">
        <f>RAB!J141</f>
        <v>A.4.6.2.2</v>
      </c>
      <c r="K143" s="804" t="str">
        <f>VLOOKUP(J143,RKPANL!B:D,2,0)</f>
        <v>Memasang 1 bh kunci tanam</v>
      </c>
      <c r="L143" s="800">
        <f>VLOOKUP(J143,RKPANL!B:D,3,0)</f>
        <v>305698.75</v>
      </c>
      <c r="M143" s="1061">
        <f>L143*H143</f>
        <v>1528493.75</v>
      </c>
      <c r="N143" s="800"/>
      <c r="O143" s="1127">
        <v>1</v>
      </c>
      <c r="P143" s="800">
        <f>M143*O143</f>
        <v>1528493.75</v>
      </c>
      <c r="Q143" s="1068">
        <f>M143-P143</f>
        <v>0</v>
      </c>
    </row>
    <row r="144" spans="2:17" ht="15.6" outlineLevel="2">
      <c r="B144" s="793"/>
      <c r="C144" s="848"/>
      <c r="D144" s="794">
        <v>2</v>
      </c>
      <c r="E144" s="846" t="s">
        <v>908</v>
      </c>
      <c r="F144" s="795"/>
      <c r="G144" s="817"/>
      <c r="H144" s="797">
        <f>RAB!H142</f>
        <v>10</v>
      </c>
      <c r="I144" s="797" t="str">
        <f>RAB!I142</f>
        <v>Unit</v>
      </c>
      <c r="J144" s="797" t="str">
        <f>RAB!J142</f>
        <v>Hit. PT.02</v>
      </c>
      <c r="K144" s="804" t="str">
        <f>VLOOKUP(J144,RKPANL!B:D,2,0)</f>
        <v>Memasang 1 bh Pintu Aluminium Uk. 70x200 cm</v>
      </c>
      <c r="L144" s="800">
        <f>VLOOKUP(J144,RKPANL!B:D,3,0)</f>
        <v>1414068.75</v>
      </c>
      <c r="M144" s="1061">
        <f>L144*H144</f>
        <v>14140687.5</v>
      </c>
      <c r="N144" s="800"/>
      <c r="O144" s="1127">
        <v>1</v>
      </c>
      <c r="P144" s="800">
        <f>M144*O144</f>
        <v>14140687.5</v>
      </c>
      <c r="Q144" s="1068">
        <f>M144-P144</f>
        <v>0</v>
      </c>
    </row>
    <row r="145" spans="2:17" ht="15.6" outlineLevel="2">
      <c r="B145" s="793"/>
      <c r="C145" s="848"/>
      <c r="D145" s="794"/>
      <c r="E145" s="795"/>
      <c r="F145" s="795"/>
      <c r="G145" s="796"/>
      <c r="H145" s="797"/>
      <c r="I145" s="798"/>
      <c r="J145" s="798"/>
      <c r="K145" s="841"/>
      <c r="L145" s="800"/>
      <c r="M145" s="1061"/>
      <c r="N145" s="800"/>
      <c r="O145" s="841"/>
      <c r="P145" s="800"/>
      <c r="Q145" s="1068"/>
    </row>
    <row r="146" spans="2:17" ht="15.6" outlineLevel="2">
      <c r="B146" s="793"/>
      <c r="C146" s="848" t="s">
        <v>404</v>
      </c>
      <c r="D146" s="696" t="s">
        <v>422</v>
      </c>
      <c r="E146" s="849"/>
      <c r="F146" s="795"/>
      <c r="G146" s="817"/>
      <c r="H146" s="797"/>
      <c r="I146" s="798"/>
      <c r="J146" s="798"/>
      <c r="K146" s="804"/>
      <c r="L146" s="800"/>
      <c r="M146" s="1061"/>
      <c r="N146" s="800"/>
      <c r="O146" s="841"/>
      <c r="P146" s="800"/>
      <c r="Q146" s="1068"/>
    </row>
    <row r="147" spans="2:17" ht="15.6" outlineLevel="2">
      <c r="B147" s="793"/>
      <c r="C147" s="802"/>
      <c r="D147" s="850">
        <v>1</v>
      </c>
      <c r="E147" s="845" t="s">
        <v>919</v>
      </c>
      <c r="F147" s="795"/>
      <c r="G147" s="817"/>
      <c r="H147" s="797">
        <f>RAB!H145</f>
        <v>74</v>
      </c>
      <c r="I147" s="797" t="str">
        <f>RAB!I145</f>
        <v>M2</v>
      </c>
      <c r="J147" s="797" t="str">
        <f>RAB!J145</f>
        <v>A.4.7.1.11.</v>
      </c>
      <c r="K147" s="804" t="str">
        <f>VLOOKUP(J147,RKPANL!B:D,2,0)</f>
        <v>Pengecatan 1 m2 Tembok Lama (1 Lapis Cat Dasar, 2 Lapis Cat 
Penutup) 
lapis cat penutup)</v>
      </c>
      <c r="L147" s="800">
        <f>VLOOKUP(J147,RKPANL!B:D,3,0)</f>
        <v>43204.35</v>
      </c>
      <c r="M147" s="1061">
        <f>L147*H147</f>
        <v>3197121.9</v>
      </c>
      <c r="N147" s="800"/>
      <c r="O147" s="1127">
        <v>0.70269999999999999</v>
      </c>
      <c r="P147" s="800">
        <f>M147*O147</f>
        <v>2246617.55913</v>
      </c>
      <c r="Q147" s="1068">
        <f>M147-P147</f>
        <v>950504.34086999996</v>
      </c>
    </row>
    <row r="148" spans="2:17" outlineLevel="2">
      <c r="B148" s="793"/>
      <c r="C148" s="802"/>
      <c r="D148" s="794"/>
      <c r="E148" s="795"/>
      <c r="F148" s="795"/>
      <c r="G148" s="796"/>
      <c r="H148" s="797"/>
      <c r="I148" s="798"/>
      <c r="J148" s="798"/>
      <c r="K148" s="841"/>
      <c r="L148" s="800"/>
      <c r="M148" s="1061"/>
      <c r="N148" s="800"/>
      <c r="O148" s="841"/>
      <c r="P148" s="800"/>
      <c r="Q148" s="1068"/>
    </row>
    <row r="149" spans="2:17" ht="15.6" outlineLevel="1">
      <c r="B149" s="1093"/>
      <c r="C149" s="1094"/>
      <c r="D149" s="1094"/>
      <c r="E149" s="1094"/>
      <c r="F149" s="1094"/>
      <c r="G149" s="1094"/>
      <c r="H149" s="1095"/>
      <c r="I149" s="1094"/>
      <c r="J149" s="1094"/>
      <c r="K149" s="1095"/>
      <c r="L149" s="1099"/>
      <c r="M149" s="1100" t="s">
        <v>829</v>
      </c>
      <c r="N149" s="1096">
        <f>SUM(M126:M147)</f>
        <v>35143641.691666663</v>
      </c>
      <c r="O149" s="1123"/>
      <c r="P149" s="1096">
        <f>SUM(P126:P148)</f>
        <v>33095939.95538</v>
      </c>
      <c r="Q149" s="1101">
        <f>SUM(Q126:Q148)</f>
        <v>2047701.7362866669</v>
      </c>
    </row>
    <row r="150" spans="2:17" ht="15.6" outlineLevel="1">
      <c r="B150" s="880"/>
      <c r="C150" s="1187" t="s">
        <v>820</v>
      </c>
      <c r="D150" s="696" t="s">
        <v>369</v>
      </c>
      <c r="E150" s="875"/>
      <c r="F150" s="795"/>
      <c r="G150" s="796"/>
      <c r="H150" s="797"/>
      <c r="I150" s="798"/>
      <c r="J150" s="798"/>
      <c r="K150" s="895"/>
      <c r="L150" s="877"/>
      <c r="M150" s="1060"/>
      <c r="N150" s="877"/>
      <c r="O150" s="895"/>
      <c r="P150" s="877"/>
      <c r="Q150" s="1067"/>
    </row>
    <row r="151" spans="2:17" ht="15.6" outlineLevel="2">
      <c r="B151" s="793"/>
      <c r="C151" s="848" t="s">
        <v>2</v>
      </c>
      <c r="D151" s="696" t="s">
        <v>349</v>
      </c>
      <c r="E151" s="849"/>
      <c r="F151" s="795"/>
      <c r="G151" s="796"/>
      <c r="H151" s="797"/>
      <c r="I151" s="798"/>
      <c r="J151" s="798"/>
      <c r="K151" s="804"/>
      <c r="L151" s="800"/>
      <c r="M151" s="1061"/>
      <c r="N151" s="800"/>
      <c r="O151" s="841"/>
      <c r="P151" s="800"/>
      <c r="Q151" s="1068"/>
    </row>
    <row r="152" spans="2:17" ht="15.6" outlineLevel="2">
      <c r="B152" s="793"/>
      <c r="C152" s="848"/>
      <c r="D152" s="794">
        <v>1</v>
      </c>
      <c r="E152" s="795" t="s">
        <v>899</v>
      </c>
      <c r="F152" s="795"/>
      <c r="G152" s="796"/>
      <c r="H152" s="797">
        <f>RAB!H150</f>
        <v>1</v>
      </c>
      <c r="I152" s="797" t="str">
        <f>RAB!I150</f>
        <v>Ls</v>
      </c>
      <c r="J152" s="797" t="str">
        <f>RAB!J150</f>
        <v>Taksir</v>
      </c>
      <c r="K152" s="804" t="e">
        <f>VLOOKUP(J152,RKPANL!B:D,2,0)</f>
        <v>#N/A</v>
      </c>
      <c r="L152" s="800">
        <f>RAB!L150</f>
        <v>2000000</v>
      </c>
      <c r="M152" s="1061">
        <f>L152*H152</f>
        <v>2000000</v>
      </c>
      <c r="N152" s="800"/>
      <c r="O152" s="1127">
        <v>1</v>
      </c>
      <c r="P152" s="800">
        <f>M152*O152</f>
        <v>2000000</v>
      </c>
      <c r="Q152" s="1068">
        <f>M152-P152</f>
        <v>0</v>
      </c>
    </row>
    <row r="153" spans="2:17" ht="15.6" outlineLevel="2">
      <c r="B153" s="793"/>
      <c r="C153" s="848"/>
      <c r="D153" s="794">
        <v>2</v>
      </c>
      <c r="E153" s="795" t="s">
        <v>415</v>
      </c>
      <c r="F153" s="795"/>
      <c r="G153" s="796"/>
      <c r="H153" s="797">
        <f>RAB!H151</f>
        <v>1</v>
      </c>
      <c r="I153" s="797" t="str">
        <f>RAB!I151</f>
        <v>Ls</v>
      </c>
      <c r="J153" s="797" t="str">
        <f>RAB!J151</f>
        <v>Taksir</v>
      </c>
      <c r="K153" s="804" t="e">
        <f>VLOOKUP(J153,RKPANL!B:D,2,0)</f>
        <v>#N/A</v>
      </c>
      <c r="L153" s="800">
        <f>RAB!L151</f>
        <v>1500000</v>
      </c>
      <c r="M153" s="1061">
        <f>L153*H153</f>
        <v>1500000</v>
      </c>
      <c r="N153" s="800"/>
      <c r="O153" s="1127">
        <v>1</v>
      </c>
      <c r="P153" s="800">
        <f>M153*O153</f>
        <v>1500000</v>
      </c>
      <c r="Q153" s="1068">
        <f>M153-P153</f>
        <v>0</v>
      </c>
    </row>
    <row r="154" spans="2:17" ht="15.6" outlineLevel="2">
      <c r="B154" s="793"/>
      <c r="C154" s="848"/>
      <c r="D154" s="794"/>
      <c r="E154" s="812"/>
      <c r="F154" s="795"/>
      <c r="G154" s="796"/>
      <c r="H154" s="797"/>
      <c r="I154" s="798"/>
      <c r="J154" s="798"/>
      <c r="K154" s="804"/>
      <c r="L154" s="800"/>
      <c r="M154" s="1061"/>
      <c r="N154" s="800"/>
      <c r="O154" s="837"/>
      <c r="P154" s="800"/>
      <c r="Q154" s="1068"/>
    </row>
    <row r="155" spans="2:17" ht="15.6" outlineLevel="2">
      <c r="B155" s="793"/>
      <c r="C155" s="848" t="s">
        <v>16</v>
      </c>
      <c r="D155" s="696" t="s">
        <v>400</v>
      </c>
      <c r="E155" s="849"/>
      <c r="F155" s="795"/>
      <c r="G155" s="796"/>
      <c r="H155" s="797"/>
      <c r="I155" s="798"/>
      <c r="J155" s="798"/>
      <c r="K155" s="804"/>
      <c r="L155" s="800"/>
      <c r="M155" s="1061"/>
      <c r="N155" s="800"/>
      <c r="O155" s="837"/>
      <c r="P155" s="800"/>
      <c r="Q155" s="1068"/>
    </row>
    <row r="156" spans="2:17" ht="15.6" outlineLevel="2">
      <c r="B156" s="793"/>
      <c r="C156" s="848"/>
      <c r="D156" s="794">
        <v>1</v>
      </c>
      <c r="E156" s="795" t="s">
        <v>420</v>
      </c>
      <c r="F156" s="795"/>
      <c r="G156" s="796"/>
      <c r="H156" s="797">
        <f>RAB!H154</f>
        <v>9</v>
      </c>
      <c r="I156" s="797" t="str">
        <f>RAB!I154</f>
        <v>M2</v>
      </c>
      <c r="J156" s="797" t="str">
        <f>RAB!J154</f>
        <v>A.4.4.3.35.</v>
      </c>
      <c r="K156" s="804" t="str">
        <f>VLOOKUP(J156,RKPANL!B:D,2,0)</f>
        <v>Pemasangan 1m2 lantai keramik ukuran 40cm x 40cm</v>
      </c>
      <c r="L156" s="800">
        <f>VLOOKUP(J156,RKPANL!B:D,3,0)</f>
        <v>309005</v>
      </c>
      <c r="M156" s="1061">
        <f>L156*H156</f>
        <v>2781045</v>
      </c>
      <c r="N156" s="800"/>
      <c r="O156" s="1127">
        <v>1</v>
      </c>
      <c r="P156" s="800">
        <f>M156*O156</f>
        <v>2781045</v>
      </c>
      <c r="Q156" s="1068">
        <f>M156-P156</f>
        <v>0</v>
      </c>
    </row>
    <row r="157" spans="2:17" ht="15.6" outlineLevel="2">
      <c r="B157" s="793"/>
      <c r="C157" s="848"/>
      <c r="D157" s="794">
        <v>2</v>
      </c>
      <c r="E157" s="795" t="s">
        <v>421</v>
      </c>
      <c r="F157" s="795"/>
      <c r="G157" s="796"/>
      <c r="H157" s="797">
        <f>RAB!H155</f>
        <v>9</v>
      </c>
      <c r="I157" s="797" t="str">
        <f>RAB!I155</f>
        <v>M2</v>
      </c>
      <c r="J157" s="797" t="str">
        <f>RAB!J155</f>
        <v>A.4.4.3.36.</v>
      </c>
      <c r="K157" s="804" t="str">
        <f>VLOOKUP(J157,RKPANL!B:D,2,0)</f>
        <v>Pemasangan 1 m2 dinding keramik uk 20 cm x 40 cm</v>
      </c>
      <c r="L157" s="800">
        <f>VLOOKUP(J157,RKPANL!B:D,3,0)</f>
        <v>371622.5</v>
      </c>
      <c r="M157" s="1061">
        <f>L157*H157</f>
        <v>3344602.5</v>
      </c>
      <c r="N157" s="800"/>
      <c r="O157" s="1127">
        <v>1</v>
      </c>
      <c r="P157" s="800">
        <f>M157*O157</f>
        <v>3344602.5</v>
      </c>
      <c r="Q157" s="1068">
        <f>M157-P157</f>
        <v>0</v>
      </c>
    </row>
    <row r="158" spans="2:17" ht="15.6" outlineLevel="2">
      <c r="B158" s="793"/>
      <c r="C158" s="848"/>
      <c r="D158" s="794"/>
      <c r="E158" s="795"/>
      <c r="F158" s="795"/>
      <c r="G158" s="796"/>
      <c r="H158" s="797"/>
      <c r="I158" s="798"/>
      <c r="J158" s="798"/>
      <c r="K158" s="804"/>
      <c r="L158" s="800"/>
      <c r="M158" s="1061"/>
      <c r="N158" s="800"/>
      <c r="O158" s="841"/>
      <c r="P158" s="800"/>
      <c r="Q158" s="1068"/>
    </row>
    <row r="159" spans="2:17" ht="15.6" outlineLevel="2">
      <c r="B159" s="793"/>
      <c r="C159" s="848" t="s">
        <v>17</v>
      </c>
      <c r="D159" s="696" t="s">
        <v>353</v>
      </c>
      <c r="E159" s="849"/>
      <c r="F159" s="795"/>
      <c r="G159" s="796"/>
      <c r="H159" s="797"/>
      <c r="I159" s="798"/>
      <c r="J159" s="798"/>
      <c r="K159" s="804"/>
      <c r="L159" s="800"/>
      <c r="M159" s="1061"/>
      <c r="N159" s="800"/>
      <c r="O159" s="841"/>
      <c r="P159" s="800"/>
      <c r="Q159" s="1068"/>
    </row>
    <row r="160" spans="2:17" ht="15.6" outlineLevel="2">
      <c r="B160" s="793"/>
      <c r="C160" s="848"/>
      <c r="D160" s="850">
        <v>1</v>
      </c>
      <c r="E160" s="845" t="s">
        <v>900</v>
      </c>
      <c r="F160" s="795"/>
      <c r="G160" s="796"/>
      <c r="H160" s="797">
        <f>RAB!H158</f>
        <v>10</v>
      </c>
      <c r="I160" s="797" t="str">
        <f>RAB!I158</f>
        <v>Titik</v>
      </c>
      <c r="J160" s="797" t="str">
        <f>RAB!J158</f>
        <v>Hit. EL.1</v>
      </c>
      <c r="K160" s="804" t="str">
        <f>VLOOKUP(J160,RKPANL!B:D,2,0)</f>
        <v>Pasang 1 Titik Instalasi Penerangan dan Stop Kontak dengan Kabel NYA 2x2,5 mm</v>
      </c>
      <c r="L160" s="800">
        <f>VLOOKUP(J160,RKPANL!B:D,3,0)</f>
        <v>232084.375</v>
      </c>
      <c r="M160" s="1061">
        <f>L160*H160</f>
        <v>2320843.75</v>
      </c>
      <c r="N160" s="800"/>
      <c r="O160" s="1127">
        <v>0.95079999999999998</v>
      </c>
      <c r="P160" s="800">
        <f>M160*O160</f>
        <v>2206658.2374999998</v>
      </c>
      <c r="Q160" s="1068">
        <f>M160-P160</f>
        <v>114185.51250000019</v>
      </c>
    </row>
    <row r="161" spans="2:17" ht="15.6" outlineLevel="2">
      <c r="B161" s="793"/>
      <c r="C161" s="848"/>
      <c r="D161" s="850">
        <v>1</v>
      </c>
      <c r="E161" s="845" t="s">
        <v>842</v>
      </c>
      <c r="F161" s="795"/>
      <c r="G161" s="796"/>
      <c r="H161" s="797">
        <f>RAB!H159</f>
        <v>10</v>
      </c>
      <c r="I161" s="797" t="str">
        <f>RAB!I159</f>
        <v>Unit</v>
      </c>
      <c r="J161" s="797" t="str">
        <f>RAB!J159</f>
        <v>Hit. EL.7</v>
      </c>
      <c r="K161" s="804" t="str">
        <f>VLOOKUP(J161,RKPANL!B:D,2,0)</f>
        <v>Pasang 1 buah Lampu LED 7 watt + Fitting Down Light</v>
      </c>
      <c r="L161" s="800">
        <f>VLOOKUP(J161,RKPANL!B:D,3,0)</f>
        <v>121813.75</v>
      </c>
      <c r="M161" s="1061">
        <f>L161*H161</f>
        <v>1218137.5</v>
      </c>
      <c r="N161" s="800"/>
      <c r="O161" s="1127">
        <v>1</v>
      </c>
      <c r="P161" s="800">
        <f>M161*O161</f>
        <v>1218137.5</v>
      </c>
      <c r="Q161" s="1068">
        <f>M161-P161</f>
        <v>0</v>
      </c>
    </row>
    <row r="162" spans="2:17" ht="15.6" outlineLevel="2">
      <c r="B162" s="793"/>
      <c r="C162" s="848"/>
      <c r="D162" s="794"/>
      <c r="E162" s="795"/>
      <c r="F162" s="795"/>
      <c r="G162" s="796"/>
      <c r="H162" s="797"/>
      <c r="I162" s="798"/>
      <c r="J162" s="798"/>
      <c r="K162" s="804"/>
      <c r="L162" s="800"/>
      <c r="M162" s="1061"/>
      <c r="N162" s="800"/>
      <c r="O162" s="841"/>
      <c r="P162" s="800"/>
      <c r="Q162" s="1068"/>
    </row>
    <row r="163" spans="2:17" ht="15.6" outlineLevel="2">
      <c r="B163" s="793"/>
      <c r="C163" s="848" t="s">
        <v>18</v>
      </c>
      <c r="D163" s="696" t="s">
        <v>357</v>
      </c>
      <c r="E163" s="849"/>
      <c r="F163" s="795"/>
      <c r="G163" s="817"/>
      <c r="H163" s="797"/>
      <c r="I163" s="798"/>
      <c r="J163" s="798"/>
      <c r="K163" s="804"/>
      <c r="L163" s="800"/>
      <c r="M163" s="1061"/>
      <c r="N163" s="800"/>
      <c r="O163" s="841"/>
      <c r="P163" s="800"/>
      <c r="Q163" s="1068"/>
    </row>
    <row r="164" spans="2:17" ht="15.6" outlineLevel="2">
      <c r="B164" s="793"/>
      <c r="C164" s="848"/>
      <c r="D164" s="794">
        <v>1</v>
      </c>
      <c r="E164" s="846" t="s">
        <v>417</v>
      </c>
      <c r="F164" s="795"/>
      <c r="G164" s="817"/>
      <c r="H164" s="797">
        <f>RAB!H162</f>
        <v>25</v>
      </c>
      <c r="I164" s="797" t="str">
        <f>RAB!I162</f>
        <v>M'</v>
      </c>
      <c r="J164" s="797" t="str">
        <f>RAB!J162</f>
        <v>A.5.1.1 25.</v>
      </c>
      <c r="K164" s="804" t="str">
        <f>VLOOKUP(J164,RKPANL!B:D,2,0)</f>
        <v>Pemasangan 1 m’ pipa PVC tipe AW diameter ½ ”</v>
      </c>
      <c r="L164" s="800">
        <f>VLOOKUP(J164,RKPANL!B:D,3,0)</f>
        <v>41465.166666666672</v>
      </c>
      <c r="M164" s="1061">
        <f>L164*H164</f>
        <v>1036629.1666666667</v>
      </c>
      <c r="N164" s="800"/>
      <c r="O164" s="1127">
        <v>0.72660000000000002</v>
      </c>
      <c r="P164" s="800">
        <f>M164*O164</f>
        <v>753214.75250000006</v>
      </c>
      <c r="Q164" s="1068">
        <f>M164-P164</f>
        <v>283414.41416666668</v>
      </c>
    </row>
    <row r="165" spans="2:17" ht="15.6" outlineLevel="2">
      <c r="B165" s="793"/>
      <c r="C165" s="848"/>
      <c r="D165" s="794">
        <v>2</v>
      </c>
      <c r="E165" s="845" t="s">
        <v>416</v>
      </c>
      <c r="F165" s="795"/>
      <c r="G165" s="817"/>
      <c r="H165" s="797">
        <f>RAB!H163</f>
        <v>6</v>
      </c>
      <c r="I165" s="797" t="str">
        <f>RAB!I163</f>
        <v>Unit</v>
      </c>
      <c r="J165" s="797" t="str">
        <f>RAB!J163</f>
        <v>A.5.1.1.19.</v>
      </c>
      <c r="K165" s="804" t="str">
        <f>VLOOKUP(J165,RKPANL!B:D,2,0)</f>
        <v>Pemasangan 1 buah kran diameter ½” atau ¾ ”</v>
      </c>
      <c r="L165" s="800">
        <f>VLOOKUP(J165,RKPANL!B:D,3,0)</f>
        <v>141881.25</v>
      </c>
      <c r="M165" s="1061">
        <f>L165*H165</f>
        <v>851287.5</v>
      </c>
      <c r="N165" s="800"/>
      <c r="O165" s="1127">
        <v>1</v>
      </c>
      <c r="P165" s="800">
        <f>M165*O165</f>
        <v>851287.5</v>
      </c>
      <c r="Q165" s="1068">
        <f>M165-P165</f>
        <v>0</v>
      </c>
    </row>
    <row r="166" spans="2:17" ht="15.6" outlineLevel="2">
      <c r="B166" s="793"/>
      <c r="C166" s="848"/>
      <c r="D166" s="794">
        <v>3</v>
      </c>
      <c r="E166" s="846" t="s">
        <v>418</v>
      </c>
      <c r="F166" s="795"/>
      <c r="G166" s="817"/>
      <c r="H166" s="797">
        <f>RAB!H164</f>
        <v>6</v>
      </c>
      <c r="I166" s="797" t="str">
        <f>RAB!I164</f>
        <v>Unit</v>
      </c>
      <c r="J166" s="797" t="str">
        <f>RAB!J164</f>
        <v>A.5.1.1.14.</v>
      </c>
      <c r="K166" s="804" t="str">
        <f>VLOOKUP(J166,RKPANL!B:D,2,0)</f>
        <v>Pemasangan 1 buah floor drain</v>
      </c>
      <c r="L166" s="800">
        <f>VLOOKUP(J166,RKPANL!B:D,3,0)</f>
        <v>161028.75</v>
      </c>
      <c r="M166" s="1061">
        <f>L166*H166</f>
        <v>966172.5</v>
      </c>
      <c r="N166" s="800"/>
      <c r="O166" s="1127">
        <v>0.60099999999999998</v>
      </c>
      <c r="P166" s="800">
        <f>M166*O166</f>
        <v>580669.67249999999</v>
      </c>
      <c r="Q166" s="1068">
        <f>M166-P166</f>
        <v>385502.82750000001</v>
      </c>
    </row>
    <row r="167" spans="2:17" ht="15.6" outlineLevel="2">
      <c r="B167" s="851"/>
      <c r="C167" s="848"/>
      <c r="D167" s="794"/>
      <c r="E167" s="794"/>
      <c r="F167" s="795"/>
      <c r="G167" s="817"/>
      <c r="H167" s="797"/>
      <c r="I167" s="852"/>
      <c r="J167" s="798"/>
      <c r="K167" s="804"/>
      <c r="L167" s="800"/>
      <c r="M167" s="1061"/>
      <c r="N167" s="800"/>
      <c r="O167" s="841"/>
      <c r="P167" s="800"/>
      <c r="Q167" s="1068"/>
    </row>
    <row r="168" spans="2:17" ht="15.6" outlineLevel="2">
      <c r="B168" s="793"/>
      <c r="C168" s="848" t="s">
        <v>19</v>
      </c>
      <c r="D168" s="696" t="s">
        <v>419</v>
      </c>
      <c r="E168" s="849"/>
      <c r="F168" s="795"/>
      <c r="G168" s="817"/>
      <c r="H168" s="797"/>
      <c r="I168" s="798"/>
      <c r="J168" s="798"/>
      <c r="K168" s="804"/>
      <c r="L168" s="800"/>
      <c r="M168" s="1061"/>
      <c r="N168" s="800"/>
      <c r="O168" s="841"/>
      <c r="P168" s="800"/>
      <c r="Q168" s="1068"/>
    </row>
    <row r="169" spans="2:17" ht="15.6" outlineLevel="2">
      <c r="B169" s="793"/>
      <c r="C169" s="848"/>
      <c r="D169" s="794">
        <v>1</v>
      </c>
      <c r="E169" s="846" t="s">
        <v>907</v>
      </c>
      <c r="F169" s="795"/>
      <c r="G169" s="817"/>
      <c r="H169" s="797">
        <f>RAB!H167</f>
        <v>2</v>
      </c>
      <c r="I169" s="797" t="str">
        <f>RAB!I167</f>
        <v>Unit</v>
      </c>
      <c r="J169" s="797" t="str">
        <f>RAB!J167</f>
        <v>A.4.6.2.2</v>
      </c>
      <c r="K169" s="804" t="str">
        <f>VLOOKUP(J169,RKPANL!B:D,2,0)</f>
        <v>Memasang 1 bh kunci tanam</v>
      </c>
      <c r="L169" s="800">
        <f>VLOOKUP(J169,RKPANL!B:D,3,0)</f>
        <v>305698.75</v>
      </c>
      <c r="M169" s="1061">
        <f>L169*H169</f>
        <v>611397.5</v>
      </c>
      <c r="N169" s="800"/>
      <c r="O169" s="1127">
        <v>1</v>
      </c>
      <c r="P169" s="800">
        <f>M169*O169</f>
        <v>611397.5</v>
      </c>
      <c r="Q169" s="1068">
        <f>M169-P169</f>
        <v>0</v>
      </c>
    </row>
    <row r="170" spans="2:17" ht="15.6" outlineLevel="2">
      <c r="B170" s="793"/>
      <c r="C170" s="848"/>
      <c r="D170" s="794">
        <v>2</v>
      </c>
      <c r="E170" s="846" t="s">
        <v>908</v>
      </c>
      <c r="F170" s="795"/>
      <c r="G170" s="817"/>
      <c r="H170" s="797">
        <f>RAB!H168</f>
        <v>6</v>
      </c>
      <c r="I170" s="797" t="str">
        <f>RAB!I168</f>
        <v>Unit</v>
      </c>
      <c r="J170" s="797" t="str">
        <f>RAB!J168</f>
        <v>Hit. PT.02</v>
      </c>
      <c r="K170" s="804" t="str">
        <f>VLOOKUP(J170,RKPANL!B:D,2,0)</f>
        <v>Memasang 1 bh Pintu Aluminium Uk. 70x200 cm</v>
      </c>
      <c r="L170" s="800">
        <f>VLOOKUP(J170,RKPANL!B:D,3,0)</f>
        <v>1414068.75</v>
      </c>
      <c r="M170" s="1061">
        <f>L170*H170</f>
        <v>8484412.5</v>
      </c>
      <c r="N170" s="800"/>
      <c r="O170" s="1127">
        <v>1</v>
      </c>
      <c r="P170" s="800">
        <f>M170*O170</f>
        <v>8484412.5</v>
      </c>
      <c r="Q170" s="1068">
        <f>M170-P170</f>
        <v>0</v>
      </c>
    </row>
    <row r="171" spans="2:17" ht="15.6" outlineLevel="2">
      <c r="B171" s="793"/>
      <c r="C171" s="848"/>
      <c r="D171" s="794"/>
      <c r="E171" s="795"/>
      <c r="F171" s="795"/>
      <c r="G171" s="796"/>
      <c r="H171" s="797"/>
      <c r="I171" s="798"/>
      <c r="J171" s="798"/>
      <c r="K171" s="841"/>
      <c r="L171" s="800"/>
      <c r="M171" s="1061"/>
      <c r="N171" s="800"/>
      <c r="O171" s="841"/>
      <c r="P171" s="800"/>
      <c r="Q171" s="1068"/>
    </row>
    <row r="172" spans="2:17" ht="15.6" outlineLevel="2">
      <c r="B172" s="793"/>
      <c r="C172" s="848" t="s">
        <v>404</v>
      </c>
      <c r="D172" s="696" t="s">
        <v>422</v>
      </c>
      <c r="E172" s="849"/>
      <c r="F172" s="795"/>
      <c r="G172" s="817"/>
      <c r="H172" s="797"/>
      <c r="I172" s="798"/>
      <c r="J172" s="798"/>
      <c r="K172" s="804"/>
      <c r="L172" s="800"/>
      <c r="M172" s="1061"/>
      <c r="N172" s="800"/>
      <c r="O172" s="841"/>
      <c r="P172" s="800"/>
      <c r="Q172" s="1068"/>
    </row>
    <row r="173" spans="2:17" ht="15.6" outlineLevel="2">
      <c r="B173" s="793"/>
      <c r="C173" s="802"/>
      <c r="D173" s="850">
        <v>1</v>
      </c>
      <c r="E173" s="845" t="s">
        <v>919</v>
      </c>
      <c r="F173" s="795"/>
      <c r="G173" s="817"/>
      <c r="H173" s="797">
        <f>RAB!H171</f>
        <v>58.4</v>
      </c>
      <c r="I173" s="797" t="str">
        <f>RAB!I171</f>
        <v>M2</v>
      </c>
      <c r="J173" s="797" t="str">
        <f>RAB!J171</f>
        <v>A.4.7.1.11.</v>
      </c>
      <c r="K173" s="804" t="str">
        <f>VLOOKUP(J173,RKPANL!B:D,2,0)</f>
        <v>Pengecatan 1 m2 Tembok Lama (1 Lapis Cat Dasar, 2 Lapis Cat 
Penutup) 
lapis cat penutup)</v>
      </c>
      <c r="L173" s="800">
        <f>VLOOKUP(J173,RKPANL!B:D,3,0)</f>
        <v>43204.35</v>
      </c>
      <c r="M173" s="1061">
        <f>L173*H173</f>
        <v>2523134.04</v>
      </c>
      <c r="N173" s="800"/>
      <c r="O173" s="1127">
        <v>0.70269999999999999</v>
      </c>
      <c r="P173" s="800">
        <f>M173*O173</f>
        <v>1773006.289908</v>
      </c>
      <c r="Q173" s="1068">
        <f>M173-P173</f>
        <v>750127.750092</v>
      </c>
    </row>
    <row r="174" spans="2:17" outlineLevel="2">
      <c r="B174" s="793"/>
      <c r="C174" s="802"/>
      <c r="D174" s="794"/>
      <c r="E174" s="795"/>
      <c r="F174" s="795"/>
      <c r="G174" s="796"/>
      <c r="H174" s="797"/>
      <c r="I174" s="798"/>
      <c r="J174" s="798"/>
      <c r="K174" s="841"/>
      <c r="L174" s="800"/>
      <c r="M174" s="1061"/>
      <c r="N174" s="800"/>
      <c r="O174" s="841"/>
      <c r="P174" s="800"/>
      <c r="Q174" s="1068"/>
    </row>
    <row r="175" spans="2:17" ht="15.6" outlineLevel="1">
      <c r="B175" s="1093"/>
      <c r="C175" s="1094"/>
      <c r="D175" s="1094"/>
      <c r="E175" s="1094"/>
      <c r="F175" s="1094"/>
      <c r="G175" s="1094"/>
      <c r="H175" s="1095"/>
      <c r="I175" s="1094"/>
      <c r="J175" s="1094"/>
      <c r="K175" s="1095"/>
      <c r="L175" s="1099"/>
      <c r="M175" s="1100" t="s">
        <v>830</v>
      </c>
      <c r="N175" s="1096">
        <f>SUM(M152:M173)</f>
        <v>27637661.956666663</v>
      </c>
      <c r="O175" s="1123"/>
      <c r="P175" s="1096">
        <f>SUM(P152:P174)</f>
        <v>26104431.452408001</v>
      </c>
      <c r="Q175" s="1101">
        <f>SUM(Q152:Q174)</f>
        <v>1533230.5042586669</v>
      </c>
    </row>
    <row r="176" spans="2:17" ht="15.6" outlineLevel="1">
      <c r="B176" s="880"/>
      <c r="C176" s="1187" t="s">
        <v>821</v>
      </c>
      <c r="D176" s="696" t="s">
        <v>370</v>
      </c>
      <c r="E176" s="875"/>
      <c r="F176" s="795"/>
      <c r="G176" s="796"/>
      <c r="H176" s="797"/>
      <c r="I176" s="798"/>
      <c r="J176" s="798"/>
      <c r="K176" s="895"/>
      <c r="L176" s="877"/>
      <c r="M176" s="1060"/>
      <c r="N176" s="877"/>
      <c r="O176" s="895"/>
      <c r="P176" s="877"/>
      <c r="Q176" s="1067"/>
    </row>
    <row r="177" spans="2:17" ht="15.6" outlineLevel="2">
      <c r="B177" s="793"/>
      <c r="C177" s="848" t="s">
        <v>2</v>
      </c>
      <c r="D177" s="696" t="s">
        <v>349</v>
      </c>
      <c r="E177" s="849"/>
      <c r="F177" s="795"/>
      <c r="G177" s="796"/>
      <c r="H177" s="797"/>
      <c r="I177" s="798"/>
      <c r="J177" s="798"/>
      <c r="K177" s="804"/>
      <c r="L177" s="800"/>
      <c r="M177" s="1061"/>
      <c r="N177" s="800"/>
      <c r="O177" s="841"/>
      <c r="P177" s="800"/>
      <c r="Q177" s="1068"/>
    </row>
    <row r="178" spans="2:17" ht="15.6" outlineLevel="2">
      <c r="B178" s="793"/>
      <c r="C178" s="848"/>
      <c r="D178" s="794">
        <v>1</v>
      </c>
      <c r="E178" s="795" t="s">
        <v>899</v>
      </c>
      <c r="F178" s="795"/>
      <c r="G178" s="796"/>
      <c r="H178" s="797">
        <f>RAB!H176</f>
        <v>1</v>
      </c>
      <c r="I178" s="797" t="str">
        <f>RAB!I176</f>
        <v>Ls</v>
      </c>
      <c r="J178" s="797" t="str">
        <f>RAB!J176</f>
        <v>Taksir</v>
      </c>
      <c r="K178" s="804" t="e">
        <f>VLOOKUP(J178,RKPANL!B:D,2,0)</f>
        <v>#N/A</v>
      </c>
      <c r="L178" s="800">
        <f>RAB!L176</f>
        <v>2000000</v>
      </c>
      <c r="M178" s="1061">
        <f t="shared" ref="M178:M204" si="20">L178*H178</f>
        <v>2000000</v>
      </c>
      <c r="N178" s="800"/>
      <c r="O178" s="1127">
        <v>1</v>
      </c>
      <c r="P178" s="800">
        <f>M178*O178</f>
        <v>2000000</v>
      </c>
      <c r="Q178" s="1068">
        <f>M178-P178</f>
        <v>0</v>
      </c>
    </row>
    <row r="179" spans="2:17" ht="15.6" outlineLevel="2">
      <c r="B179" s="793"/>
      <c r="C179" s="848"/>
      <c r="D179" s="794">
        <v>2</v>
      </c>
      <c r="E179" s="795" t="s">
        <v>415</v>
      </c>
      <c r="F179" s="795"/>
      <c r="G179" s="796"/>
      <c r="H179" s="797">
        <f>RAB!H177</f>
        <v>1</v>
      </c>
      <c r="I179" s="797" t="str">
        <f>RAB!I177</f>
        <v>Ls</v>
      </c>
      <c r="J179" s="797" t="str">
        <f>RAB!J177</f>
        <v>Taksir</v>
      </c>
      <c r="K179" s="804" t="e">
        <f>VLOOKUP(J179,RKPANL!B:D,2,0)</f>
        <v>#N/A</v>
      </c>
      <c r="L179" s="800">
        <f>RAB!L177</f>
        <v>1500000</v>
      </c>
      <c r="M179" s="1061">
        <f t="shared" si="20"/>
        <v>1500000</v>
      </c>
      <c r="N179" s="800"/>
      <c r="O179" s="1127">
        <v>1</v>
      </c>
      <c r="P179" s="800">
        <f>M179*O179</f>
        <v>1500000</v>
      </c>
      <c r="Q179" s="1068">
        <f>M179-P179</f>
        <v>0</v>
      </c>
    </row>
    <row r="180" spans="2:17" ht="15.6" outlineLevel="2">
      <c r="B180" s="793"/>
      <c r="C180" s="848"/>
      <c r="D180" s="794"/>
      <c r="E180" s="812"/>
      <c r="F180" s="795"/>
      <c r="G180" s="796"/>
      <c r="H180" s="797"/>
      <c r="I180" s="798"/>
      <c r="J180" s="798"/>
      <c r="K180" s="804"/>
      <c r="L180" s="800"/>
      <c r="M180" s="1061"/>
      <c r="N180" s="800"/>
      <c r="O180" s="837"/>
      <c r="P180" s="800"/>
      <c r="Q180" s="1068"/>
    </row>
    <row r="181" spans="2:17" ht="15.6" outlineLevel="2">
      <c r="B181" s="793"/>
      <c r="C181" s="848" t="s">
        <v>16</v>
      </c>
      <c r="D181" s="696" t="s">
        <v>400</v>
      </c>
      <c r="E181" s="849"/>
      <c r="F181" s="795"/>
      <c r="G181" s="796"/>
      <c r="H181" s="797"/>
      <c r="I181" s="798"/>
      <c r="J181" s="798"/>
      <c r="K181" s="804"/>
      <c r="L181" s="800"/>
      <c r="M181" s="1061"/>
      <c r="N181" s="800"/>
      <c r="O181" s="841"/>
      <c r="P181" s="800"/>
      <c r="Q181" s="1068"/>
    </row>
    <row r="182" spans="2:17" ht="15.6" outlineLevel="2">
      <c r="B182" s="793"/>
      <c r="C182" s="848"/>
      <c r="D182" s="794">
        <v>1</v>
      </c>
      <c r="E182" s="795" t="s">
        <v>420</v>
      </c>
      <c r="F182" s="795"/>
      <c r="G182" s="796"/>
      <c r="H182" s="797">
        <f>RAB!H180</f>
        <v>9</v>
      </c>
      <c r="I182" s="797" t="str">
        <f>RAB!I180</f>
        <v>M2</v>
      </c>
      <c r="J182" s="797" t="str">
        <f>RAB!J180</f>
        <v>A.4.4.3.35.</v>
      </c>
      <c r="K182" s="804" t="str">
        <f>VLOOKUP(J182,RKPANL!B:D,2,0)</f>
        <v>Pemasangan 1m2 lantai keramik ukuran 40cm x 40cm</v>
      </c>
      <c r="L182" s="800">
        <f>VLOOKUP(J182,RKPANL!B:D,3,0)</f>
        <v>309005</v>
      </c>
      <c r="M182" s="1061">
        <f t="shared" si="20"/>
        <v>2781045</v>
      </c>
      <c r="N182" s="800"/>
      <c r="O182" s="1127">
        <v>1</v>
      </c>
      <c r="P182" s="800">
        <f>M182*O182</f>
        <v>2781045</v>
      </c>
      <c r="Q182" s="1068">
        <f>M182-P182</f>
        <v>0</v>
      </c>
    </row>
    <row r="183" spans="2:17" ht="15.6" outlineLevel="2">
      <c r="B183" s="793"/>
      <c r="C183" s="848"/>
      <c r="D183" s="794">
        <v>2</v>
      </c>
      <c r="E183" s="795" t="s">
        <v>421</v>
      </c>
      <c r="F183" s="795"/>
      <c r="G183" s="796"/>
      <c r="H183" s="797">
        <f>RAB!H181</f>
        <v>9</v>
      </c>
      <c r="I183" s="797" t="str">
        <f>RAB!I181</f>
        <v>M2</v>
      </c>
      <c r="J183" s="797" t="str">
        <f>RAB!J181</f>
        <v>A.4.4.3.36.</v>
      </c>
      <c r="K183" s="804" t="str">
        <f>VLOOKUP(J183,RKPANL!B:D,2,0)</f>
        <v>Pemasangan 1 m2 dinding keramik uk 20 cm x 40 cm</v>
      </c>
      <c r="L183" s="800">
        <f>VLOOKUP(J183,RKPANL!B:D,3,0)</f>
        <v>371622.5</v>
      </c>
      <c r="M183" s="1061">
        <f t="shared" si="20"/>
        <v>3344602.5</v>
      </c>
      <c r="N183" s="800"/>
      <c r="O183" s="1127">
        <v>1</v>
      </c>
      <c r="P183" s="800">
        <f>M183*O183</f>
        <v>3344602.5</v>
      </c>
      <c r="Q183" s="1068">
        <f>M183-P183</f>
        <v>0</v>
      </c>
    </row>
    <row r="184" spans="2:17" ht="15.6" outlineLevel="2">
      <c r="B184" s="793"/>
      <c r="C184" s="848"/>
      <c r="D184" s="794"/>
      <c r="E184" s="795"/>
      <c r="F184" s="795"/>
      <c r="G184" s="796"/>
      <c r="H184" s="797"/>
      <c r="I184" s="798"/>
      <c r="J184" s="798"/>
      <c r="K184" s="804"/>
      <c r="L184" s="800"/>
      <c r="M184" s="1061"/>
      <c r="N184" s="800"/>
      <c r="O184" s="841"/>
      <c r="P184" s="800"/>
      <c r="Q184" s="1068"/>
    </row>
    <row r="185" spans="2:17" ht="15.6" outlineLevel="2">
      <c r="B185" s="793"/>
      <c r="C185" s="848" t="s">
        <v>17</v>
      </c>
      <c r="D185" s="696" t="s">
        <v>424</v>
      </c>
      <c r="E185" s="849"/>
      <c r="F185" s="795"/>
      <c r="G185" s="817"/>
      <c r="H185" s="797"/>
      <c r="I185" s="798"/>
      <c r="J185" s="798"/>
      <c r="K185" s="804"/>
      <c r="L185" s="800"/>
      <c r="M185" s="1061"/>
      <c r="N185" s="800"/>
      <c r="O185" s="841"/>
      <c r="P185" s="800"/>
      <c r="Q185" s="1068"/>
    </row>
    <row r="186" spans="2:17" ht="15.6" outlineLevel="2">
      <c r="B186" s="793"/>
      <c r="C186" s="848"/>
      <c r="D186" s="794">
        <v>1</v>
      </c>
      <c r="E186" s="812" t="s">
        <v>425</v>
      </c>
      <c r="F186" s="795"/>
      <c r="G186" s="817"/>
      <c r="H186" s="797">
        <f>RAB!H184</f>
        <v>36.180000000000007</v>
      </c>
      <c r="I186" s="797" t="str">
        <f>RAB!I184</f>
        <v>M2</v>
      </c>
      <c r="J186" s="797" t="str">
        <f>RAB!J184</f>
        <v>Hit. PLF.01</v>
      </c>
      <c r="K186" s="804" t="e">
        <f>VLOOKUP(J186,RKPANL!B:D,2,0)</f>
        <v>#N/A</v>
      </c>
      <c r="L186" s="800">
        <v>150000</v>
      </c>
      <c r="M186" s="1061">
        <f t="shared" si="20"/>
        <v>5427000.0000000009</v>
      </c>
      <c r="N186" s="800"/>
      <c r="O186" s="1127">
        <v>0.83479999999999999</v>
      </c>
      <c r="P186" s="800">
        <f>M186*O186</f>
        <v>4530459.6000000006</v>
      </c>
      <c r="Q186" s="1068">
        <f>M186-P186</f>
        <v>896540.40000000037</v>
      </c>
    </row>
    <row r="187" spans="2:17" ht="15.6" outlineLevel="2">
      <c r="B187" s="793"/>
      <c r="C187" s="848"/>
      <c r="D187" s="794">
        <v>2</v>
      </c>
      <c r="E187" s="812" t="s">
        <v>426</v>
      </c>
      <c r="F187" s="795"/>
      <c r="G187" s="817"/>
      <c r="H187" s="797">
        <f>RAB!H185</f>
        <v>36.180000000000007</v>
      </c>
      <c r="I187" s="797" t="str">
        <f>RAB!I185</f>
        <v>M2</v>
      </c>
      <c r="J187" s="797" t="str">
        <f>RAB!J185</f>
        <v>A.4.5.1.7.</v>
      </c>
      <c r="K187" s="804" t="str">
        <f>VLOOKUP(J187,RKPANL!B:D,2,0)</f>
        <v>Pemasangan 1 m2 langit-langit gypsum board ukuran (120x240x9) mm, tebal 9 mm</v>
      </c>
      <c r="L187" s="800">
        <f>VLOOKUP(J187,RKPANL!B:D,3,0)</f>
        <v>65084.25</v>
      </c>
      <c r="M187" s="1061">
        <f t="shared" si="20"/>
        <v>2354748.1650000005</v>
      </c>
      <c r="N187" s="800"/>
      <c r="O187" s="1127">
        <v>0.87039999999999995</v>
      </c>
      <c r="P187" s="800">
        <f>M187*O187</f>
        <v>2049572.8028160003</v>
      </c>
      <c r="Q187" s="1068">
        <f>M187-P187</f>
        <v>305175.3621840002</v>
      </c>
    </row>
    <row r="188" spans="2:17" ht="15.6" outlineLevel="2">
      <c r="B188" s="793"/>
      <c r="C188" s="848"/>
      <c r="D188" s="794">
        <v>3</v>
      </c>
      <c r="E188" s="812" t="s">
        <v>427</v>
      </c>
      <c r="F188" s="795"/>
      <c r="G188" s="817"/>
      <c r="H188" s="797">
        <f>RAB!H186</f>
        <v>45.7</v>
      </c>
      <c r="I188" s="797" t="str">
        <f>RAB!I186</f>
        <v>M'</v>
      </c>
      <c r="J188" s="797" t="str">
        <f>RAB!J186</f>
        <v>A.4.5.1.7.A</v>
      </c>
      <c r="K188" s="804" t="str">
        <f>VLOOKUP(J188,RKPANL!B:D,2,0)</f>
        <v>Pemasangan 1 m' List Profil Gypsum 4"</v>
      </c>
      <c r="L188" s="800">
        <f>VLOOKUP(J188,RKPANL!B:D,3,0)</f>
        <v>38507.75</v>
      </c>
      <c r="M188" s="1061">
        <f t="shared" si="20"/>
        <v>1759804.175</v>
      </c>
      <c r="N188" s="800"/>
      <c r="O188" s="1127">
        <v>0.94579999999999997</v>
      </c>
      <c r="P188" s="800">
        <f>M188*O188</f>
        <v>1664422.788715</v>
      </c>
      <c r="Q188" s="1068">
        <f>M188-P188</f>
        <v>95381.386285000015</v>
      </c>
    </row>
    <row r="189" spans="2:17" ht="15.6" outlineLevel="2">
      <c r="B189" s="851"/>
      <c r="C189" s="848"/>
      <c r="D189" s="794"/>
      <c r="E189" s="794"/>
      <c r="F189" s="795"/>
      <c r="G189" s="817"/>
      <c r="H189" s="797"/>
      <c r="I189" s="798"/>
      <c r="J189" s="798"/>
      <c r="K189" s="804"/>
      <c r="L189" s="800"/>
      <c r="M189" s="1061"/>
      <c r="N189" s="800"/>
      <c r="O189" s="841"/>
      <c r="P189" s="800"/>
      <c r="Q189" s="1068"/>
    </row>
    <row r="190" spans="2:17" ht="15.6" outlineLevel="2">
      <c r="B190" s="793"/>
      <c r="C190" s="848" t="s">
        <v>18</v>
      </c>
      <c r="D190" s="696" t="s">
        <v>353</v>
      </c>
      <c r="E190" s="849"/>
      <c r="F190" s="795"/>
      <c r="G190" s="796"/>
      <c r="H190" s="797"/>
      <c r="I190" s="798"/>
      <c r="J190" s="798"/>
      <c r="K190" s="804"/>
      <c r="L190" s="800"/>
      <c r="M190" s="1061"/>
      <c r="N190" s="800"/>
      <c r="O190" s="841"/>
      <c r="P190" s="800"/>
      <c r="Q190" s="1068"/>
    </row>
    <row r="191" spans="2:17" ht="15.6" outlineLevel="2">
      <c r="B191" s="793"/>
      <c r="C191" s="848"/>
      <c r="D191" s="850">
        <v>1</v>
      </c>
      <c r="E191" s="845" t="s">
        <v>900</v>
      </c>
      <c r="F191" s="795"/>
      <c r="G191" s="796"/>
      <c r="H191" s="797">
        <f>RAB!H189</f>
        <v>8</v>
      </c>
      <c r="I191" s="797" t="str">
        <f>RAB!I189</f>
        <v>Titik</v>
      </c>
      <c r="J191" s="797" t="str">
        <f>RAB!J189</f>
        <v>Hit. EL.1</v>
      </c>
      <c r="K191" s="804" t="str">
        <f>VLOOKUP(J191,RKPANL!B:D,2,0)</f>
        <v>Pasang 1 Titik Instalasi Penerangan dan Stop Kontak dengan Kabel NYA 2x2,5 mm</v>
      </c>
      <c r="L191" s="800">
        <f>VLOOKUP(J191,RKPANL!B:D,3,0)</f>
        <v>232084.375</v>
      </c>
      <c r="M191" s="1061">
        <f>L191*H191</f>
        <v>1856675</v>
      </c>
      <c r="N191" s="800"/>
      <c r="O191" s="1127">
        <v>0.95079999999999998</v>
      </c>
      <c r="P191" s="800">
        <f>M191*O191</f>
        <v>1765326.5899999999</v>
      </c>
      <c r="Q191" s="1068">
        <f>M191-P191</f>
        <v>91348.410000000149</v>
      </c>
    </row>
    <row r="192" spans="2:17" ht="15.6" outlineLevel="2">
      <c r="B192" s="793"/>
      <c r="C192" s="848"/>
      <c r="D192" s="850">
        <v>1</v>
      </c>
      <c r="E192" s="845" t="s">
        <v>842</v>
      </c>
      <c r="F192" s="795"/>
      <c r="G192" s="796"/>
      <c r="H192" s="797">
        <f>RAB!H190</f>
        <v>8</v>
      </c>
      <c r="I192" s="797" t="str">
        <f>RAB!I190</f>
        <v>Unit</v>
      </c>
      <c r="J192" s="797" t="str">
        <f>RAB!J190</f>
        <v>Hit. EL.7</v>
      </c>
      <c r="K192" s="804" t="str">
        <f>VLOOKUP(J192,RKPANL!B:D,2,0)</f>
        <v>Pasang 1 buah Lampu LED 7 watt + Fitting Down Light</v>
      </c>
      <c r="L192" s="800">
        <f>VLOOKUP(J192,RKPANL!B:D,3,0)</f>
        <v>121813.75</v>
      </c>
      <c r="M192" s="1061">
        <f t="shared" si="20"/>
        <v>974510</v>
      </c>
      <c r="N192" s="800"/>
      <c r="O192" s="1127">
        <v>1</v>
      </c>
      <c r="P192" s="800">
        <f>M192*O192</f>
        <v>974510</v>
      </c>
      <c r="Q192" s="1068">
        <f>M192-P192</f>
        <v>0</v>
      </c>
    </row>
    <row r="193" spans="2:17" ht="15.6" outlineLevel="2">
      <c r="B193" s="793"/>
      <c r="C193" s="848"/>
      <c r="D193" s="794"/>
      <c r="E193" s="795"/>
      <c r="F193" s="795"/>
      <c r="G193" s="796"/>
      <c r="H193" s="797"/>
      <c r="I193" s="798"/>
      <c r="J193" s="798"/>
      <c r="K193" s="804"/>
      <c r="L193" s="800"/>
      <c r="M193" s="1061"/>
      <c r="N193" s="800"/>
      <c r="O193" s="841"/>
      <c r="P193" s="800"/>
      <c r="Q193" s="1068"/>
    </row>
    <row r="194" spans="2:17" ht="15.6" outlineLevel="2">
      <c r="B194" s="793"/>
      <c r="C194" s="848" t="s">
        <v>19</v>
      </c>
      <c r="D194" s="696" t="s">
        <v>357</v>
      </c>
      <c r="E194" s="849"/>
      <c r="F194" s="795"/>
      <c r="G194" s="817"/>
      <c r="H194" s="797"/>
      <c r="I194" s="798"/>
      <c r="J194" s="798"/>
      <c r="K194" s="804"/>
      <c r="L194" s="800"/>
      <c r="M194" s="1061"/>
      <c r="N194" s="800"/>
      <c r="O194" s="841"/>
      <c r="P194" s="800"/>
      <c r="Q194" s="1068"/>
    </row>
    <row r="195" spans="2:17" ht="15.6" outlineLevel="2">
      <c r="B195" s="793"/>
      <c r="C195" s="848"/>
      <c r="D195" s="794">
        <v>1</v>
      </c>
      <c r="E195" s="846" t="s">
        <v>417</v>
      </c>
      <c r="F195" s="795"/>
      <c r="G195" s="817"/>
      <c r="H195" s="797">
        <f>RAB!H193</f>
        <v>25</v>
      </c>
      <c r="I195" s="797" t="str">
        <f>RAB!I193</f>
        <v>M'</v>
      </c>
      <c r="J195" s="797" t="str">
        <f>RAB!J193</f>
        <v>A.5.1.1 25.</v>
      </c>
      <c r="K195" s="804" t="str">
        <f>VLOOKUP(J195,RKPANL!B:D,2,0)</f>
        <v>Pemasangan 1 m’ pipa PVC tipe AW diameter ½ ”</v>
      </c>
      <c r="L195" s="800">
        <f>VLOOKUP(J195,RKPANL!B:D,3,0)</f>
        <v>41465.166666666672</v>
      </c>
      <c r="M195" s="1061">
        <f t="shared" si="20"/>
        <v>1036629.1666666667</v>
      </c>
      <c r="N195" s="800"/>
      <c r="O195" s="1127">
        <v>0.72660000000000002</v>
      </c>
      <c r="P195" s="800">
        <f>M195*O195</f>
        <v>753214.75250000006</v>
      </c>
      <c r="Q195" s="1068">
        <f>M195-P195</f>
        <v>283414.41416666668</v>
      </c>
    </row>
    <row r="196" spans="2:17" ht="15.6" outlineLevel="2">
      <c r="B196" s="793"/>
      <c r="C196" s="848"/>
      <c r="D196" s="794">
        <v>2</v>
      </c>
      <c r="E196" s="845" t="s">
        <v>416</v>
      </c>
      <c r="F196" s="795"/>
      <c r="G196" s="817"/>
      <c r="H196" s="797">
        <f>RAB!H194</f>
        <v>5</v>
      </c>
      <c r="I196" s="797" t="str">
        <f>RAB!I194</f>
        <v>Unit</v>
      </c>
      <c r="J196" s="797" t="str">
        <f>RAB!J194</f>
        <v>A.5.1.1.19.</v>
      </c>
      <c r="K196" s="804" t="str">
        <f>VLOOKUP(J196,RKPANL!B:D,2,0)</f>
        <v>Pemasangan 1 buah kran diameter ½” atau ¾ ”</v>
      </c>
      <c r="L196" s="800">
        <f>VLOOKUP(J196,RKPANL!B:D,3,0)</f>
        <v>141881.25</v>
      </c>
      <c r="M196" s="1061">
        <f t="shared" si="20"/>
        <v>709406.25</v>
      </c>
      <c r="N196" s="800"/>
      <c r="O196" s="1127">
        <v>1</v>
      </c>
      <c r="P196" s="800">
        <f>M196*O196</f>
        <v>709406.25</v>
      </c>
      <c r="Q196" s="1068">
        <f>M196-P196</f>
        <v>0</v>
      </c>
    </row>
    <row r="197" spans="2:17" ht="15.6" outlineLevel="2">
      <c r="B197" s="793"/>
      <c r="C197" s="848"/>
      <c r="D197" s="794">
        <v>3</v>
      </c>
      <c r="E197" s="846" t="s">
        <v>418</v>
      </c>
      <c r="F197" s="795"/>
      <c r="G197" s="817"/>
      <c r="H197" s="797">
        <f>RAB!H195</f>
        <v>5</v>
      </c>
      <c r="I197" s="797" t="str">
        <f>RAB!I195</f>
        <v>Unit</v>
      </c>
      <c r="J197" s="797" t="str">
        <f>RAB!J195</f>
        <v>A.5.1.1.14.</v>
      </c>
      <c r="K197" s="804" t="str">
        <f>VLOOKUP(J197,RKPANL!B:D,2,0)</f>
        <v>Pemasangan 1 buah floor drain</v>
      </c>
      <c r="L197" s="800">
        <f>VLOOKUP(J197,RKPANL!B:D,3,0)</f>
        <v>161028.75</v>
      </c>
      <c r="M197" s="1061">
        <f t="shared" si="20"/>
        <v>805143.75</v>
      </c>
      <c r="N197" s="800"/>
      <c r="O197" s="1127">
        <v>0.60099999999999998</v>
      </c>
      <c r="P197" s="800">
        <f>M197*O197</f>
        <v>483891.39374999999</v>
      </c>
      <c r="Q197" s="1068">
        <f>M197-P197</f>
        <v>321252.35625000001</v>
      </c>
    </row>
    <row r="198" spans="2:17" ht="15.6" outlineLevel="2">
      <c r="B198" s="851"/>
      <c r="C198" s="848"/>
      <c r="D198" s="794"/>
      <c r="E198" s="794"/>
      <c r="F198" s="795"/>
      <c r="G198" s="817"/>
      <c r="H198" s="797"/>
      <c r="I198" s="798"/>
      <c r="J198" s="798"/>
      <c r="K198" s="804"/>
      <c r="L198" s="800"/>
      <c r="M198" s="1061"/>
      <c r="N198" s="800"/>
      <c r="O198" s="841"/>
      <c r="P198" s="800"/>
      <c r="Q198" s="1068"/>
    </row>
    <row r="199" spans="2:17" ht="15.6" outlineLevel="2">
      <c r="B199" s="793"/>
      <c r="C199" s="848" t="s">
        <v>404</v>
      </c>
      <c r="D199" s="696" t="s">
        <v>419</v>
      </c>
      <c r="E199" s="849"/>
      <c r="F199" s="795"/>
      <c r="G199" s="817"/>
      <c r="H199" s="797"/>
      <c r="I199" s="798"/>
      <c r="J199" s="798"/>
      <c r="K199" s="804"/>
      <c r="L199" s="800"/>
      <c r="M199" s="1061"/>
      <c r="N199" s="800"/>
      <c r="O199" s="841"/>
      <c r="P199" s="800"/>
      <c r="Q199" s="1068"/>
    </row>
    <row r="200" spans="2:17" ht="15.6" outlineLevel="2">
      <c r="B200" s="793"/>
      <c r="C200" s="802"/>
      <c r="D200" s="794">
        <v>1</v>
      </c>
      <c r="E200" s="846" t="s">
        <v>907</v>
      </c>
      <c r="F200" s="795"/>
      <c r="G200" s="817"/>
      <c r="H200" s="797">
        <f>RAB!H198</f>
        <v>1</v>
      </c>
      <c r="I200" s="797" t="str">
        <f>RAB!I198</f>
        <v>Unit</v>
      </c>
      <c r="J200" s="797" t="str">
        <f>RAB!J198</f>
        <v>A.4.6.2.2</v>
      </c>
      <c r="K200" s="804" t="str">
        <f>VLOOKUP(J200,RKPANL!B:D,2,0)</f>
        <v>Memasang 1 bh kunci tanam</v>
      </c>
      <c r="L200" s="800">
        <f>VLOOKUP(J200,RKPANL!B:D,3,0)</f>
        <v>305698.75</v>
      </c>
      <c r="M200" s="1061">
        <f t="shared" si="20"/>
        <v>305698.75</v>
      </c>
      <c r="N200" s="800"/>
      <c r="O200" s="1127">
        <v>1</v>
      </c>
      <c r="P200" s="800">
        <f>M200*O200</f>
        <v>305698.75</v>
      </c>
      <c r="Q200" s="1068">
        <f>M200-P200</f>
        <v>0</v>
      </c>
    </row>
    <row r="201" spans="2:17" ht="15.6" outlineLevel="2">
      <c r="B201" s="793"/>
      <c r="C201" s="802"/>
      <c r="D201" s="794">
        <v>2</v>
      </c>
      <c r="E201" s="846" t="s">
        <v>908</v>
      </c>
      <c r="F201" s="795"/>
      <c r="G201" s="817"/>
      <c r="H201" s="797">
        <f>RAB!H199</f>
        <v>5</v>
      </c>
      <c r="I201" s="797" t="str">
        <f>RAB!I199</f>
        <v>Unit</v>
      </c>
      <c r="J201" s="797" t="str">
        <f>RAB!J199</f>
        <v>Hit. PT.02</v>
      </c>
      <c r="K201" s="804" t="str">
        <f>VLOOKUP(J201,RKPANL!B:D,2,0)</f>
        <v>Memasang 1 bh Pintu Aluminium Uk. 70x200 cm</v>
      </c>
      <c r="L201" s="800">
        <f>VLOOKUP(J201,RKPANL!B:D,3,0)</f>
        <v>1414068.75</v>
      </c>
      <c r="M201" s="1061">
        <f t="shared" si="20"/>
        <v>7070343.75</v>
      </c>
      <c r="N201" s="800"/>
      <c r="O201" s="1127">
        <v>1</v>
      </c>
      <c r="P201" s="800">
        <f>M201*O201</f>
        <v>7070343.75</v>
      </c>
      <c r="Q201" s="1068">
        <f>M201-P201</f>
        <v>0</v>
      </c>
    </row>
    <row r="202" spans="2:17" outlineLevel="2">
      <c r="B202" s="793"/>
      <c r="C202" s="802"/>
      <c r="D202" s="794"/>
      <c r="E202" s="795"/>
      <c r="F202" s="795"/>
      <c r="G202" s="796"/>
      <c r="H202" s="797"/>
      <c r="I202" s="798"/>
      <c r="J202" s="798"/>
      <c r="K202" s="841"/>
      <c r="L202" s="800"/>
      <c r="M202" s="1061"/>
      <c r="N202" s="800"/>
      <c r="O202" s="841"/>
      <c r="P202" s="800"/>
      <c r="Q202" s="1068"/>
    </row>
    <row r="203" spans="2:17" ht="15.6" outlineLevel="2">
      <c r="B203" s="793"/>
      <c r="C203" s="848" t="s">
        <v>560</v>
      </c>
      <c r="D203" s="696" t="s">
        <v>422</v>
      </c>
      <c r="E203" s="849"/>
      <c r="F203" s="795"/>
      <c r="G203" s="817"/>
      <c r="H203" s="797"/>
      <c r="I203" s="798"/>
      <c r="J203" s="798"/>
      <c r="K203" s="804"/>
      <c r="L203" s="800"/>
      <c r="M203" s="1061"/>
      <c r="N203" s="800"/>
      <c r="O203" s="841"/>
      <c r="P203" s="800"/>
      <c r="Q203" s="1068"/>
    </row>
    <row r="204" spans="2:17" ht="15.6" outlineLevel="2">
      <c r="B204" s="793"/>
      <c r="C204" s="802"/>
      <c r="D204" s="850">
        <v>1</v>
      </c>
      <c r="E204" s="845" t="s">
        <v>919</v>
      </c>
      <c r="F204" s="795"/>
      <c r="G204" s="817"/>
      <c r="H204" s="797">
        <f>RAB!H202</f>
        <v>45.7</v>
      </c>
      <c r="I204" s="797" t="str">
        <f>RAB!I202</f>
        <v>M2</v>
      </c>
      <c r="J204" s="797" t="str">
        <f>RAB!J202</f>
        <v>A.4.7.1.11.</v>
      </c>
      <c r="K204" s="804" t="str">
        <f>VLOOKUP(J204,RKPANL!B:D,2,0)</f>
        <v>Pengecatan 1 m2 Tembok Lama (1 Lapis Cat Dasar, 2 Lapis Cat 
Penutup) 
lapis cat penutup)</v>
      </c>
      <c r="L204" s="800">
        <f>VLOOKUP(J204,RKPANL!B:D,3,0)</f>
        <v>43204.35</v>
      </c>
      <c r="M204" s="1061">
        <f t="shared" si="20"/>
        <v>1974438.7950000002</v>
      </c>
      <c r="N204" s="800"/>
      <c r="O204" s="1127">
        <v>0.70269999999999999</v>
      </c>
      <c r="P204" s="800">
        <f>M204*O204</f>
        <v>1387438.1412465002</v>
      </c>
      <c r="Q204" s="1068">
        <f>M204-P204</f>
        <v>587000.65375349997</v>
      </c>
    </row>
    <row r="205" spans="2:17" ht="15.6" outlineLevel="2">
      <c r="B205" s="793"/>
      <c r="C205" s="802"/>
      <c r="D205" s="850">
        <v>2</v>
      </c>
      <c r="E205" s="845" t="s">
        <v>445</v>
      </c>
      <c r="F205" s="795"/>
      <c r="G205" s="817"/>
      <c r="H205" s="797">
        <f>RAB!H203</f>
        <v>36.180000000000007</v>
      </c>
      <c r="I205" s="797" t="str">
        <f>RAB!I203</f>
        <v>M2</v>
      </c>
      <c r="J205" s="797" t="str">
        <f>RAB!J203</f>
        <v>A.4.7.1.10.</v>
      </c>
      <c r="K205" s="804" t="str">
        <f>VLOOKUP(J205,RKPANL!B:D,2,0)</f>
        <v>Pengecatan 1 m2 tembok baru (1 lapis plamuur, 1 lapis cat dasar, 2
lapis cat penutup)</v>
      </c>
      <c r="L205" s="800">
        <f>VLOOKUP(J205,RKPANL!B:D,3,0)</f>
        <v>55114.9</v>
      </c>
      <c r="M205" s="1061">
        <f>L205*H205</f>
        <v>1994057.0820000004</v>
      </c>
      <c r="N205" s="800"/>
      <c r="O205" s="1127">
        <v>0.70269999999999999</v>
      </c>
      <c r="P205" s="800">
        <f>M205*O205</f>
        <v>1401223.9115214003</v>
      </c>
      <c r="Q205" s="1068">
        <f>M205-P205</f>
        <v>592833.17047860008</v>
      </c>
    </row>
    <row r="206" spans="2:17" outlineLevel="2">
      <c r="B206" s="793"/>
      <c r="C206" s="802"/>
      <c r="D206" s="794"/>
      <c r="E206" s="795"/>
      <c r="F206" s="795"/>
      <c r="G206" s="796"/>
      <c r="H206" s="797"/>
      <c r="I206" s="798"/>
      <c r="J206" s="798"/>
      <c r="K206" s="841"/>
      <c r="L206" s="800"/>
      <c r="M206" s="1061"/>
      <c r="N206" s="800"/>
      <c r="O206" s="841"/>
      <c r="P206" s="800"/>
      <c r="Q206" s="1068"/>
    </row>
    <row r="207" spans="2:17" ht="15.6" outlineLevel="1">
      <c r="B207" s="1093"/>
      <c r="C207" s="1094"/>
      <c r="D207" s="1094"/>
      <c r="E207" s="1094"/>
      <c r="F207" s="1094"/>
      <c r="G207" s="1094"/>
      <c r="H207" s="1095"/>
      <c r="I207" s="1094"/>
      <c r="J207" s="1094"/>
      <c r="K207" s="1095"/>
      <c r="L207" s="1099"/>
      <c r="M207" s="1100" t="s">
        <v>831</v>
      </c>
      <c r="N207" s="1096">
        <f>SUM(M178:M205)</f>
        <v>35894102.383666672</v>
      </c>
      <c r="O207" s="1123"/>
      <c r="P207" s="1096">
        <f>SUM(P178:P206)</f>
        <v>32721156.230548907</v>
      </c>
      <c r="Q207" s="1101">
        <f>SUM(Q178:Q206)</f>
        <v>3172946.1531177675</v>
      </c>
    </row>
    <row r="208" spans="2:17" ht="15.6" outlineLevel="1">
      <c r="B208" s="880"/>
      <c r="C208" s="1187" t="s">
        <v>822</v>
      </c>
      <c r="D208" s="696" t="s">
        <v>371</v>
      </c>
      <c r="E208" s="875"/>
      <c r="F208" s="795"/>
      <c r="G208" s="796"/>
      <c r="H208" s="797"/>
      <c r="I208" s="798"/>
      <c r="J208" s="798"/>
      <c r="K208" s="895"/>
      <c r="L208" s="877"/>
      <c r="M208" s="1060"/>
      <c r="N208" s="877"/>
      <c r="O208" s="895"/>
      <c r="P208" s="877"/>
      <c r="Q208" s="1067"/>
    </row>
    <row r="209" spans="2:17" ht="15.6" outlineLevel="2">
      <c r="B209" s="793"/>
      <c r="C209" s="848" t="s">
        <v>2</v>
      </c>
      <c r="D209" s="696" t="s">
        <v>349</v>
      </c>
      <c r="E209" s="849"/>
      <c r="F209" s="795"/>
      <c r="G209" s="796"/>
      <c r="H209" s="797"/>
      <c r="I209" s="798"/>
      <c r="J209" s="798"/>
      <c r="K209" s="804"/>
      <c r="L209" s="800"/>
      <c r="M209" s="1061"/>
      <c r="N209" s="800"/>
      <c r="O209" s="841"/>
      <c r="P209" s="800"/>
      <c r="Q209" s="1068"/>
    </row>
    <row r="210" spans="2:17" ht="15.6" outlineLevel="2">
      <c r="B210" s="793"/>
      <c r="C210" s="848"/>
      <c r="D210" s="794">
        <v>1</v>
      </c>
      <c r="E210" s="795" t="s">
        <v>899</v>
      </c>
      <c r="F210" s="795"/>
      <c r="G210" s="796"/>
      <c r="H210" s="797">
        <f>RAB!H208</f>
        <v>1</v>
      </c>
      <c r="I210" s="797" t="str">
        <f>RAB!I208</f>
        <v>Ls</v>
      </c>
      <c r="J210" s="797" t="str">
        <f>RAB!J208</f>
        <v>Taksir</v>
      </c>
      <c r="K210" s="804" t="e">
        <f>VLOOKUP(J210,RKPANL!B:D,2,0)</f>
        <v>#N/A</v>
      </c>
      <c r="L210" s="800">
        <f>RAB!L208</f>
        <v>2000000</v>
      </c>
      <c r="M210" s="1061">
        <f>L210*H210</f>
        <v>2000000</v>
      </c>
      <c r="N210" s="800"/>
      <c r="O210" s="1127">
        <v>1</v>
      </c>
      <c r="P210" s="800">
        <f>M210*O210</f>
        <v>2000000</v>
      </c>
      <c r="Q210" s="1068">
        <f>M210-P210</f>
        <v>0</v>
      </c>
    </row>
    <row r="211" spans="2:17" ht="15.6" outlineLevel="2">
      <c r="B211" s="793"/>
      <c r="C211" s="848"/>
      <c r="D211" s="794">
        <v>2</v>
      </c>
      <c r="E211" s="795" t="s">
        <v>415</v>
      </c>
      <c r="F211" s="795"/>
      <c r="G211" s="796"/>
      <c r="H211" s="797">
        <f>RAB!H209</f>
        <v>1</v>
      </c>
      <c r="I211" s="797" t="str">
        <f>RAB!I209</f>
        <v>Ls</v>
      </c>
      <c r="J211" s="797" t="str">
        <f>RAB!J209</f>
        <v>Taksir</v>
      </c>
      <c r="K211" s="804" t="e">
        <f>VLOOKUP(J211,RKPANL!B:D,2,0)</f>
        <v>#N/A</v>
      </c>
      <c r="L211" s="800">
        <f>RAB!L209</f>
        <v>1500000</v>
      </c>
      <c r="M211" s="1061">
        <f>L211*H211</f>
        <v>1500000</v>
      </c>
      <c r="N211" s="800"/>
      <c r="O211" s="1127">
        <v>1</v>
      </c>
      <c r="P211" s="800">
        <f>M211*O211</f>
        <v>1500000</v>
      </c>
      <c r="Q211" s="1068">
        <f>M211-P211</f>
        <v>0</v>
      </c>
    </row>
    <row r="212" spans="2:17" ht="15.6" outlineLevel="2">
      <c r="B212" s="793"/>
      <c r="C212" s="848"/>
      <c r="D212" s="794"/>
      <c r="E212" s="812"/>
      <c r="F212" s="795"/>
      <c r="G212" s="796"/>
      <c r="H212" s="797"/>
      <c r="I212" s="798"/>
      <c r="J212" s="798"/>
      <c r="K212" s="804"/>
      <c r="L212" s="800"/>
      <c r="M212" s="1061"/>
      <c r="N212" s="800"/>
      <c r="O212" s="837"/>
      <c r="P212" s="800"/>
      <c r="Q212" s="1068"/>
    </row>
    <row r="213" spans="2:17" ht="15.6" outlineLevel="2">
      <c r="B213" s="793"/>
      <c r="C213" s="848" t="s">
        <v>16</v>
      </c>
      <c r="D213" s="696" t="s">
        <v>400</v>
      </c>
      <c r="E213" s="849"/>
      <c r="F213" s="795"/>
      <c r="G213" s="796"/>
      <c r="H213" s="797"/>
      <c r="I213" s="798"/>
      <c r="J213" s="798"/>
      <c r="K213" s="804"/>
      <c r="L213" s="800"/>
      <c r="M213" s="1061"/>
      <c r="N213" s="800"/>
      <c r="O213" s="837"/>
      <c r="P213" s="800"/>
      <c r="Q213" s="1068"/>
    </row>
    <row r="214" spans="2:17" ht="15.6" outlineLevel="2">
      <c r="B214" s="793"/>
      <c r="C214" s="848"/>
      <c r="D214" s="794">
        <v>1</v>
      </c>
      <c r="E214" s="795" t="s">
        <v>420</v>
      </c>
      <c r="F214" s="795"/>
      <c r="G214" s="796"/>
      <c r="H214" s="797">
        <f>RAB!H212</f>
        <v>9</v>
      </c>
      <c r="I214" s="797" t="str">
        <f>RAB!I212</f>
        <v>M2</v>
      </c>
      <c r="J214" s="797" t="str">
        <f>RAB!J212</f>
        <v>A.4.4.3.35.</v>
      </c>
      <c r="K214" s="804" t="str">
        <f>VLOOKUP(J214,RKPANL!B:D,2,0)</f>
        <v>Pemasangan 1m2 lantai keramik ukuran 40cm x 40cm</v>
      </c>
      <c r="L214" s="800">
        <f>VLOOKUP(J214,RKPANL!B:D,3,0)</f>
        <v>309005</v>
      </c>
      <c r="M214" s="1061">
        <f>L214*H214</f>
        <v>2781045</v>
      </c>
      <c r="N214" s="800"/>
      <c r="O214" s="1127">
        <v>1</v>
      </c>
      <c r="P214" s="800">
        <f>M214*O214</f>
        <v>2781045</v>
      </c>
      <c r="Q214" s="1068">
        <f>M214-P214</f>
        <v>0</v>
      </c>
    </row>
    <row r="215" spans="2:17" ht="15.6" outlineLevel="2">
      <c r="B215" s="793"/>
      <c r="C215" s="848"/>
      <c r="D215" s="794">
        <v>2</v>
      </c>
      <c r="E215" s="795" t="s">
        <v>421</v>
      </c>
      <c r="F215" s="795"/>
      <c r="G215" s="796"/>
      <c r="H215" s="797">
        <f>RAB!H213</f>
        <v>9</v>
      </c>
      <c r="I215" s="797" t="str">
        <f>RAB!I213</f>
        <v>M2</v>
      </c>
      <c r="J215" s="797" t="str">
        <f>RAB!J213</f>
        <v>A.4.4.3.36.</v>
      </c>
      <c r="K215" s="804" t="str">
        <f>VLOOKUP(J215,RKPANL!B:D,2,0)</f>
        <v>Pemasangan 1 m2 dinding keramik uk 20 cm x 40 cm</v>
      </c>
      <c r="L215" s="800">
        <f>VLOOKUP(J215,RKPANL!B:D,3,0)</f>
        <v>371622.5</v>
      </c>
      <c r="M215" s="1061">
        <f>L215*H215</f>
        <v>3344602.5</v>
      </c>
      <c r="N215" s="800"/>
      <c r="O215" s="1127">
        <v>1</v>
      </c>
      <c r="P215" s="800">
        <f>M215*O215</f>
        <v>3344602.5</v>
      </c>
      <c r="Q215" s="1068">
        <f>M215-P215</f>
        <v>0</v>
      </c>
    </row>
    <row r="216" spans="2:17" ht="15.6" outlineLevel="2">
      <c r="B216" s="793"/>
      <c r="C216" s="848"/>
      <c r="D216" s="794"/>
      <c r="E216" s="795"/>
      <c r="F216" s="795"/>
      <c r="G216" s="796"/>
      <c r="H216" s="797"/>
      <c r="I216" s="798"/>
      <c r="J216" s="798"/>
      <c r="K216" s="804"/>
      <c r="L216" s="800"/>
      <c r="M216" s="1061"/>
      <c r="N216" s="800"/>
      <c r="O216" s="841"/>
      <c r="P216" s="800"/>
      <c r="Q216" s="1068"/>
    </row>
    <row r="217" spans="2:17" ht="15.6" outlineLevel="2">
      <c r="B217" s="793"/>
      <c r="C217" s="848" t="s">
        <v>17</v>
      </c>
      <c r="D217" s="696" t="s">
        <v>353</v>
      </c>
      <c r="E217" s="849"/>
      <c r="F217" s="795"/>
      <c r="G217" s="796"/>
      <c r="H217" s="797"/>
      <c r="I217" s="798"/>
      <c r="J217" s="798"/>
      <c r="K217" s="804"/>
      <c r="L217" s="800"/>
      <c r="M217" s="1061"/>
      <c r="N217" s="800"/>
      <c r="O217" s="841"/>
      <c r="P217" s="800"/>
      <c r="Q217" s="1068"/>
    </row>
    <row r="218" spans="2:17" ht="15.6" outlineLevel="2">
      <c r="B218" s="793"/>
      <c r="C218" s="848"/>
      <c r="D218" s="850">
        <v>1</v>
      </c>
      <c r="E218" s="845" t="s">
        <v>900</v>
      </c>
      <c r="F218" s="795"/>
      <c r="G218" s="796"/>
      <c r="H218" s="797">
        <f>RAB!H216</f>
        <v>10</v>
      </c>
      <c r="I218" s="797" t="str">
        <f>RAB!I216</f>
        <v>Titik</v>
      </c>
      <c r="J218" s="797" t="str">
        <f>RAB!J216</f>
        <v>Hit. EL.1</v>
      </c>
      <c r="K218" s="804" t="str">
        <f>VLOOKUP(J218,RKPANL!B:D,2,0)</f>
        <v>Pasang 1 Titik Instalasi Penerangan dan Stop Kontak dengan Kabel NYA 2x2,5 mm</v>
      </c>
      <c r="L218" s="800">
        <f>VLOOKUP(J218,RKPANL!B:D,3,0)</f>
        <v>232084.375</v>
      </c>
      <c r="M218" s="1061">
        <f>L218*H218</f>
        <v>2320843.75</v>
      </c>
      <c r="N218" s="800"/>
      <c r="O218" s="1127">
        <v>0.95079999999999998</v>
      </c>
      <c r="P218" s="800">
        <f>M218*O218</f>
        <v>2206658.2374999998</v>
      </c>
      <c r="Q218" s="1068">
        <f>M218-P218</f>
        <v>114185.51250000019</v>
      </c>
    </row>
    <row r="219" spans="2:17" ht="15.6" outlineLevel="2">
      <c r="B219" s="793"/>
      <c r="C219" s="848"/>
      <c r="D219" s="850">
        <v>2</v>
      </c>
      <c r="E219" s="845" t="s">
        <v>842</v>
      </c>
      <c r="F219" s="795"/>
      <c r="G219" s="796"/>
      <c r="H219" s="797">
        <f>RAB!H217</f>
        <v>10</v>
      </c>
      <c r="I219" s="797" t="str">
        <f>RAB!I217</f>
        <v>Unit</v>
      </c>
      <c r="J219" s="797" t="str">
        <f>RAB!J217</f>
        <v>Hit. EL.7</v>
      </c>
      <c r="K219" s="804" t="str">
        <f>VLOOKUP(J219,RKPANL!B:D,2,0)</f>
        <v>Pasang 1 buah Lampu LED 7 watt + Fitting Down Light</v>
      </c>
      <c r="L219" s="800">
        <f>VLOOKUP(J219,RKPANL!B:D,3,0)</f>
        <v>121813.75</v>
      </c>
      <c r="M219" s="1061">
        <f>L219*H219</f>
        <v>1218137.5</v>
      </c>
      <c r="N219" s="800"/>
      <c r="O219" s="1127">
        <v>1</v>
      </c>
      <c r="P219" s="800">
        <f>M219*O219</f>
        <v>1218137.5</v>
      </c>
      <c r="Q219" s="1068">
        <f>M219-P219</f>
        <v>0</v>
      </c>
    </row>
    <row r="220" spans="2:17" ht="15.6" outlineLevel="2">
      <c r="B220" s="793"/>
      <c r="C220" s="848"/>
      <c r="D220" s="794"/>
      <c r="E220" s="795"/>
      <c r="F220" s="795"/>
      <c r="G220" s="796"/>
      <c r="H220" s="797"/>
      <c r="I220" s="798"/>
      <c r="J220" s="798"/>
      <c r="K220" s="804"/>
      <c r="L220" s="800"/>
      <c r="M220" s="1061"/>
      <c r="N220" s="800"/>
      <c r="O220" s="841"/>
      <c r="P220" s="800"/>
      <c r="Q220" s="1068"/>
    </row>
    <row r="221" spans="2:17" ht="15.6" outlineLevel="2">
      <c r="B221" s="793"/>
      <c r="C221" s="848" t="s">
        <v>18</v>
      </c>
      <c r="D221" s="696" t="s">
        <v>357</v>
      </c>
      <c r="E221" s="849"/>
      <c r="F221" s="795"/>
      <c r="G221" s="817"/>
      <c r="H221" s="797"/>
      <c r="I221" s="798"/>
      <c r="J221" s="798"/>
      <c r="K221" s="804"/>
      <c r="L221" s="800"/>
      <c r="M221" s="1061"/>
      <c r="N221" s="800"/>
      <c r="O221" s="841"/>
      <c r="P221" s="800"/>
      <c r="Q221" s="1068"/>
    </row>
    <row r="222" spans="2:17" ht="15.6" outlineLevel="2">
      <c r="B222" s="793"/>
      <c r="C222" s="848"/>
      <c r="D222" s="794">
        <v>1</v>
      </c>
      <c r="E222" s="846" t="s">
        <v>417</v>
      </c>
      <c r="F222" s="795"/>
      <c r="G222" s="817"/>
      <c r="H222" s="797">
        <f>RAB!H220</f>
        <v>25</v>
      </c>
      <c r="I222" s="797" t="str">
        <f>RAB!I220</f>
        <v>M'</v>
      </c>
      <c r="J222" s="797" t="str">
        <f>RAB!J220</f>
        <v>A.5.1.1 25.</v>
      </c>
      <c r="K222" s="804" t="str">
        <f>VLOOKUP(J222,RKPANL!B:D,2,0)</f>
        <v>Pemasangan 1 m’ pipa PVC tipe AW diameter ½ ”</v>
      </c>
      <c r="L222" s="800">
        <f>VLOOKUP(J222,RKPANL!B:D,3,0)</f>
        <v>41465.166666666672</v>
      </c>
      <c r="M222" s="1061">
        <f>L222*H222</f>
        <v>1036629.1666666667</v>
      </c>
      <c r="N222" s="800"/>
      <c r="O222" s="1127">
        <v>0.72660000000000002</v>
      </c>
      <c r="P222" s="800">
        <f>M222*O222</f>
        <v>753214.75250000006</v>
      </c>
      <c r="Q222" s="1068">
        <f>M222-P222</f>
        <v>283414.41416666668</v>
      </c>
    </row>
    <row r="223" spans="2:17" ht="15.6" outlineLevel="2">
      <c r="B223" s="793"/>
      <c r="C223" s="848"/>
      <c r="D223" s="794">
        <v>2</v>
      </c>
      <c r="E223" s="845" t="s">
        <v>416</v>
      </c>
      <c r="F223" s="795"/>
      <c r="G223" s="817"/>
      <c r="H223" s="797">
        <f>RAB!H221</f>
        <v>6</v>
      </c>
      <c r="I223" s="797" t="str">
        <f>RAB!I221</f>
        <v>Unit</v>
      </c>
      <c r="J223" s="797" t="str">
        <f>RAB!J221</f>
        <v>A.5.1.1.19.</v>
      </c>
      <c r="K223" s="804" t="str">
        <f>VLOOKUP(J223,RKPANL!B:D,2,0)</f>
        <v>Pemasangan 1 buah kran diameter ½” atau ¾ ”</v>
      </c>
      <c r="L223" s="800">
        <f>VLOOKUP(J223,RKPANL!B:D,3,0)</f>
        <v>141881.25</v>
      </c>
      <c r="M223" s="1061">
        <f>L223*H223</f>
        <v>851287.5</v>
      </c>
      <c r="N223" s="800"/>
      <c r="O223" s="1127">
        <v>1</v>
      </c>
      <c r="P223" s="800">
        <f>M223*O223</f>
        <v>851287.5</v>
      </c>
      <c r="Q223" s="1068">
        <f>M223-P223</f>
        <v>0</v>
      </c>
    </row>
    <row r="224" spans="2:17" ht="15.6" outlineLevel="2">
      <c r="B224" s="793"/>
      <c r="C224" s="848"/>
      <c r="D224" s="794">
        <v>3</v>
      </c>
      <c r="E224" s="846" t="s">
        <v>418</v>
      </c>
      <c r="F224" s="795"/>
      <c r="G224" s="817"/>
      <c r="H224" s="797">
        <f>RAB!H222</f>
        <v>6</v>
      </c>
      <c r="I224" s="797" t="str">
        <f>RAB!I222</f>
        <v>Unit</v>
      </c>
      <c r="J224" s="797" t="str">
        <f>RAB!J222</f>
        <v>A.5.1.1.14.</v>
      </c>
      <c r="K224" s="804" t="str">
        <f>VLOOKUP(J224,RKPANL!B:D,2,0)</f>
        <v>Pemasangan 1 buah floor drain</v>
      </c>
      <c r="L224" s="800">
        <f>VLOOKUP(J224,RKPANL!B:D,3,0)</f>
        <v>161028.75</v>
      </c>
      <c r="M224" s="1061">
        <f>L224*H224</f>
        <v>966172.5</v>
      </c>
      <c r="N224" s="800"/>
      <c r="O224" s="1127">
        <v>0.60099999999999998</v>
      </c>
      <c r="P224" s="800">
        <f>M224*O224</f>
        <v>580669.67249999999</v>
      </c>
      <c r="Q224" s="1068">
        <f>M224-P224</f>
        <v>385502.82750000001</v>
      </c>
    </row>
    <row r="225" spans="2:19" ht="15.6" outlineLevel="2">
      <c r="B225" s="851"/>
      <c r="C225" s="848"/>
      <c r="D225" s="794"/>
      <c r="E225" s="794"/>
      <c r="F225" s="795"/>
      <c r="G225" s="817"/>
      <c r="H225" s="797"/>
      <c r="I225" s="852"/>
      <c r="J225" s="798"/>
      <c r="K225" s="804"/>
      <c r="L225" s="800"/>
      <c r="M225" s="1061"/>
      <c r="N225" s="800"/>
      <c r="O225" s="841"/>
      <c r="P225" s="800"/>
      <c r="Q225" s="1068"/>
    </row>
    <row r="226" spans="2:19" ht="15.6" outlineLevel="2">
      <c r="B226" s="793"/>
      <c r="C226" s="848" t="s">
        <v>19</v>
      </c>
      <c r="D226" s="696" t="s">
        <v>419</v>
      </c>
      <c r="E226" s="849"/>
      <c r="F226" s="795"/>
      <c r="G226" s="817"/>
      <c r="H226" s="797"/>
      <c r="I226" s="798"/>
      <c r="J226" s="798"/>
      <c r="K226" s="804"/>
      <c r="L226" s="800"/>
      <c r="M226" s="1061"/>
      <c r="N226" s="800"/>
      <c r="O226" s="841"/>
      <c r="P226" s="800"/>
      <c r="Q226" s="1068"/>
    </row>
    <row r="227" spans="2:19" ht="15.6" outlineLevel="2">
      <c r="B227" s="793"/>
      <c r="C227" s="848"/>
      <c r="D227" s="794">
        <v>1</v>
      </c>
      <c r="E227" s="846" t="s">
        <v>907</v>
      </c>
      <c r="F227" s="795"/>
      <c r="G227" s="817"/>
      <c r="H227" s="797">
        <f>RAB!H225</f>
        <v>2</v>
      </c>
      <c r="I227" s="797" t="str">
        <f>RAB!I225</f>
        <v>Unit</v>
      </c>
      <c r="J227" s="797" t="str">
        <f>RAB!J225</f>
        <v>A.4.6.2.2</v>
      </c>
      <c r="K227" s="804" t="str">
        <f>VLOOKUP(J227,RKPANL!B:D,2,0)</f>
        <v>Memasang 1 bh kunci tanam</v>
      </c>
      <c r="L227" s="800">
        <f>VLOOKUP(J227,RKPANL!B:D,3,0)</f>
        <v>305698.75</v>
      </c>
      <c r="M227" s="1061">
        <f>L227*H227</f>
        <v>611397.5</v>
      </c>
      <c r="N227" s="800"/>
      <c r="O227" s="1127">
        <v>1</v>
      </c>
      <c r="P227" s="800">
        <f>M227*O227</f>
        <v>611397.5</v>
      </c>
      <c r="Q227" s="1068">
        <f>M227-P227</f>
        <v>0</v>
      </c>
    </row>
    <row r="228" spans="2:19" ht="15.6" outlineLevel="2">
      <c r="B228" s="793"/>
      <c r="C228" s="848"/>
      <c r="D228" s="794">
        <v>2</v>
      </c>
      <c r="E228" s="846" t="s">
        <v>908</v>
      </c>
      <c r="F228" s="795"/>
      <c r="G228" s="817"/>
      <c r="H228" s="797">
        <f>RAB!H226</f>
        <v>6</v>
      </c>
      <c r="I228" s="797" t="str">
        <f>RAB!I226</f>
        <v>Unit</v>
      </c>
      <c r="J228" s="797" t="str">
        <f>RAB!J226</f>
        <v>Hit. PT.02</v>
      </c>
      <c r="K228" s="804" t="str">
        <f>VLOOKUP(J228,RKPANL!B:D,2,0)</f>
        <v>Memasang 1 bh Pintu Aluminium Uk. 70x200 cm</v>
      </c>
      <c r="L228" s="800">
        <f>VLOOKUP(J228,RKPANL!B:D,3,0)</f>
        <v>1414068.75</v>
      </c>
      <c r="M228" s="1061">
        <f>L228*H228</f>
        <v>8484412.5</v>
      </c>
      <c r="N228" s="800"/>
      <c r="O228" s="1127">
        <v>1</v>
      </c>
      <c r="P228" s="800">
        <f>M228*O228</f>
        <v>8484412.5</v>
      </c>
      <c r="Q228" s="1068">
        <f>M228-P228</f>
        <v>0</v>
      </c>
    </row>
    <row r="229" spans="2:19" ht="15.6" outlineLevel="2">
      <c r="B229" s="793"/>
      <c r="C229" s="848"/>
      <c r="D229" s="794"/>
      <c r="E229" s="795"/>
      <c r="F229" s="795"/>
      <c r="G229" s="796"/>
      <c r="H229" s="797"/>
      <c r="I229" s="798"/>
      <c r="J229" s="798"/>
      <c r="K229" s="841"/>
      <c r="L229" s="800"/>
      <c r="M229" s="1061"/>
      <c r="N229" s="800"/>
      <c r="O229" s="841"/>
      <c r="P229" s="800"/>
      <c r="Q229" s="1068"/>
    </row>
    <row r="230" spans="2:19" ht="15.6" outlineLevel="2">
      <c r="B230" s="793"/>
      <c r="C230" s="848" t="s">
        <v>404</v>
      </c>
      <c r="D230" s="696" t="s">
        <v>422</v>
      </c>
      <c r="E230" s="849"/>
      <c r="F230" s="795"/>
      <c r="G230" s="817"/>
      <c r="H230" s="797"/>
      <c r="I230" s="798"/>
      <c r="J230" s="798"/>
      <c r="K230" s="804"/>
      <c r="L230" s="800"/>
      <c r="M230" s="1061"/>
      <c r="N230" s="800"/>
      <c r="O230" s="841"/>
      <c r="P230" s="800"/>
      <c r="Q230" s="1068"/>
    </row>
    <row r="231" spans="2:19" ht="15.6" outlineLevel="2">
      <c r="B231" s="793"/>
      <c r="C231" s="802"/>
      <c r="D231" s="850">
        <v>1</v>
      </c>
      <c r="E231" s="845" t="s">
        <v>919</v>
      </c>
      <c r="F231" s="795"/>
      <c r="G231" s="817"/>
      <c r="H231" s="797">
        <f>RAB!H229</f>
        <v>58.4</v>
      </c>
      <c r="I231" s="797" t="str">
        <f>RAB!I229</f>
        <v>M2</v>
      </c>
      <c r="J231" s="797" t="str">
        <f>RAB!J229</f>
        <v>A.4.7.1.11.</v>
      </c>
      <c r="K231" s="804" t="str">
        <f>VLOOKUP(J231,RKPANL!B:D,2,0)</f>
        <v>Pengecatan 1 m2 Tembok Lama (1 Lapis Cat Dasar, 2 Lapis Cat 
Penutup) 
lapis cat penutup)</v>
      </c>
      <c r="L231" s="800">
        <f>VLOOKUP(J231,RKPANL!B:D,3,0)</f>
        <v>43204.35</v>
      </c>
      <c r="M231" s="1061">
        <f>L231*H231</f>
        <v>2523134.04</v>
      </c>
      <c r="N231" s="800"/>
      <c r="O231" s="1127">
        <v>0.70269999999999999</v>
      </c>
      <c r="P231" s="800">
        <f>M231*O231</f>
        <v>1773006.289908</v>
      </c>
      <c r="Q231" s="1068">
        <f>M231-P231</f>
        <v>750127.750092</v>
      </c>
    </row>
    <row r="232" spans="2:19" outlineLevel="2">
      <c r="B232" s="793"/>
      <c r="C232" s="802"/>
      <c r="D232" s="794"/>
      <c r="E232" s="795"/>
      <c r="F232" s="795"/>
      <c r="G232" s="796"/>
      <c r="H232" s="797"/>
      <c r="I232" s="798"/>
      <c r="J232" s="798"/>
      <c r="K232" s="841"/>
      <c r="L232" s="800"/>
      <c r="M232" s="1061"/>
      <c r="N232" s="800"/>
      <c r="O232" s="841"/>
      <c r="P232" s="800"/>
      <c r="Q232" s="1068"/>
    </row>
    <row r="233" spans="2:19" ht="15.6" outlineLevel="1">
      <c r="B233" s="1093"/>
      <c r="C233" s="1094"/>
      <c r="D233" s="1094"/>
      <c r="E233" s="1094"/>
      <c r="F233" s="1094"/>
      <c r="G233" s="1094"/>
      <c r="H233" s="1095"/>
      <c r="I233" s="1094"/>
      <c r="J233" s="1094"/>
      <c r="K233" s="1095"/>
      <c r="L233" s="1099"/>
      <c r="M233" s="1100" t="s">
        <v>832</v>
      </c>
      <c r="N233" s="1096">
        <f>SUM(M210:M231)</f>
        <v>27637661.956666663</v>
      </c>
      <c r="O233" s="1123"/>
      <c r="P233" s="1096">
        <f>SUM(P210:P232)</f>
        <v>26104431.452408001</v>
      </c>
      <c r="Q233" s="1101">
        <f t="shared" ref="Q233" si="21">SUM(Q210:Q232)</f>
        <v>1533230.5042586669</v>
      </c>
    </row>
    <row r="234" spans="2:19" s="1098" customFormat="1" ht="21.6" customHeight="1">
      <c r="B234" s="1102"/>
      <c r="C234" s="1103"/>
      <c r="D234" s="1103"/>
      <c r="E234" s="1103"/>
      <c r="F234" s="1103"/>
      <c r="G234" s="1103"/>
      <c r="H234" s="1104"/>
      <c r="I234" s="1103"/>
      <c r="J234" s="1103"/>
      <c r="K234" s="1272" t="s">
        <v>359</v>
      </c>
      <c r="L234" s="1272"/>
      <c r="M234" s="1105"/>
      <c r="N234" s="1106">
        <f>SUM(N124:N233)</f>
        <v>126313067.98866667</v>
      </c>
      <c r="O234" s="1124"/>
      <c r="P234" s="1106">
        <f>SUM(P124:P233)/2</f>
        <v>118025959.09074491</v>
      </c>
      <c r="Q234" s="1186">
        <f>SUM(Q124:Q233)/2</f>
        <v>8287108.8979217671</v>
      </c>
      <c r="S234" s="1114"/>
    </row>
    <row r="235" spans="2:19" ht="15.6">
      <c r="B235" s="851" t="s">
        <v>163</v>
      </c>
      <c r="C235" s="1185" t="s">
        <v>360</v>
      </c>
      <c r="E235" s="875"/>
      <c r="F235" s="795"/>
      <c r="G235" s="796"/>
      <c r="H235" s="797"/>
      <c r="I235" s="798"/>
      <c r="J235" s="798"/>
      <c r="K235" s="876"/>
      <c r="L235" s="877"/>
      <c r="M235" s="1060"/>
      <c r="N235" s="877"/>
      <c r="O235" s="895"/>
      <c r="P235" s="877"/>
      <c r="Q235" s="1067"/>
    </row>
    <row r="236" spans="2:19" ht="15.6" outlineLevel="1">
      <c r="B236" s="880"/>
      <c r="C236" s="1187" t="s">
        <v>815</v>
      </c>
      <c r="D236" s="696" t="s">
        <v>368</v>
      </c>
      <c r="E236" s="875"/>
      <c r="F236" s="795"/>
      <c r="G236" s="796"/>
      <c r="H236" s="797"/>
      <c r="I236" s="798"/>
      <c r="J236" s="798"/>
      <c r="K236" s="882"/>
      <c r="L236" s="877"/>
      <c r="M236" s="1060"/>
      <c r="N236" s="877"/>
      <c r="O236" s="895"/>
      <c r="P236" s="877"/>
      <c r="Q236" s="1067"/>
    </row>
    <row r="237" spans="2:19" ht="15.6" outlineLevel="2">
      <c r="B237" s="793"/>
      <c r="C237" s="848" t="s">
        <v>2</v>
      </c>
      <c r="D237" s="696" t="s">
        <v>349</v>
      </c>
      <c r="E237" s="849"/>
      <c r="F237" s="795"/>
      <c r="G237" s="796"/>
      <c r="H237" s="797"/>
      <c r="I237" s="798"/>
      <c r="J237" s="798"/>
      <c r="K237" s="804"/>
      <c r="L237" s="800"/>
      <c r="M237" s="1061"/>
      <c r="N237" s="800"/>
      <c r="O237" s="841"/>
      <c r="P237" s="800"/>
      <c r="Q237" s="1068"/>
    </row>
    <row r="238" spans="2:19" ht="15.6" outlineLevel="2">
      <c r="B238" s="793"/>
      <c r="C238" s="848"/>
      <c r="D238" s="794">
        <v>1</v>
      </c>
      <c r="E238" s="795" t="s">
        <v>899</v>
      </c>
      <c r="F238" s="795"/>
      <c r="G238" s="796"/>
      <c r="H238" s="797">
        <f>RAB!H236</f>
        <v>1</v>
      </c>
      <c r="I238" s="797" t="str">
        <f>RAB!I236</f>
        <v>Ls</v>
      </c>
      <c r="J238" s="797" t="str">
        <f>RAB!J236</f>
        <v>Taksir</v>
      </c>
      <c r="K238" s="804" t="e">
        <f>VLOOKUP(J238,RKPANL!B:D,2,0)</f>
        <v>#N/A</v>
      </c>
      <c r="L238" s="800">
        <f>RAB!L236</f>
        <v>2000000</v>
      </c>
      <c r="M238" s="1061">
        <f>L238*H238</f>
        <v>2000000</v>
      </c>
      <c r="N238" s="800"/>
      <c r="O238" s="1127">
        <v>1</v>
      </c>
      <c r="P238" s="800">
        <f>M238*O238</f>
        <v>2000000</v>
      </c>
      <c r="Q238" s="1068">
        <f>M238-P238</f>
        <v>0</v>
      </c>
    </row>
    <row r="239" spans="2:19" ht="15.6" outlineLevel="2">
      <c r="B239" s="793"/>
      <c r="C239" s="848"/>
      <c r="D239" s="794">
        <v>2</v>
      </c>
      <c r="E239" s="795" t="s">
        <v>415</v>
      </c>
      <c r="F239" s="795"/>
      <c r="G239" s="796"/>
      <c r="H239" s="797">
        <f>RAB!H237</f>
        <v>1</v>
      </c>
      <c r="I239" s="797" t="str">
        <f>RAB!I237</f>
        <v>Ls</v>
      </c>
      <c r="J239" s="797" t="str">
        <f>RAB!J237</f>
        <v>Taksir</v>
      </c>
      <c r="K239" s="804" t="e">
        <f>VLOOKUP(J239,RKPANL!B:D,2,0)</f>
        <v>#N/A</v>
      </c>
      <c r="L239" s="800">
        <f>RAB!L237</f>
        <v>1500000</v>
      </c>
      <c r="M239" s="1061">
        <f>L239*H239</f>
        <v>1500000</v>
      </c>
      <c r="N239" s="800"/>
      <c r="O239" s="1127">
        <v>1</v>
      </c>
      <c r="P239" s="800">
        <f>M239*O239</f>
        <v>1500000</v>
      </c>
      <c r="Q239" s="1068">
        <f>M239-P239</f>
        <v>0</v>
      </c>
    </row>
    <row r="240" spans="2:19" ht="15.6" outlineLevel="2">
      <c r="B240" s="793"/>
      <c r="C240" s="848"/>
      <c r="D240" s="794"/>
      <c r="E240" s="812"/>
      <c r="F240" s="795"/>
      <c r="G240" s="796"/>
      <c r="H240" s="797"/>
      <c r="I240" s="798"/>
      <c r="J240" s="798"/>
      <c r="K240" s="804"/>
      <c r="L240" s="800"/>
      <c r="M240" s="1061"/>
      <c r="N240" s="800"/>
      <c r="O240" s="1128"/>
      <c r="P240" s="800"/>
      <c r="Q240" s="1068"/>
    </row>
    <row r="241" spans="2:17" ht="15.6" outlineLevel="2">
      <c r="B241" s="793"/>
      <c r="C241" s="848" t="s">
        <v>16</v>
      </c>
      <c r="D241" s="696" t="s">
        <v>400</v>
      </c>
      <c r="E241" s="849"/>
      <c r="F241" s="795"/>
      <c r="G241" s="796"/>
      <c r="H241" s="797"/>
      <c r="I241" s="798"/>
      <c r="J241" s="798"/>
      <c r="K241" s="804"/>
      <c r="L241" s="800"/>
      <c r="M241" s="1061"/>
      <c r="N241" s="800"/>
      <c r="O241" s="841"/>
      <c r="P241" s="800"/>
      <c r="Q241" s="1068"/>
    </row>
    <row r="242" spans="2:17" ht="15.6" outlineLevel="2">
      <c r="B242" s="793"/>
      <c r="C242" s="848"/>
      <c r="D242" s="794">
        <v>1</v>
      </c>
      <c r="E242" s="795" t="s">
        <v>891</v>
      </c>
      <c r="F242" s="795"/>
      <c r="G242" s="796"/>
      <c r="H242" s="797">
        <f>RAB!H240</f>
        <v>22.545000000000002</v>
      </c>
      <c r="I242" s="797" t="str">
        <f>RAB!I240</f>
        <v>M2</v>
      </c>
      <c r="J242" s="797" t="str">
        <f>RAB!J240</f>
        <v>A.4.4.3.35.</v>
      </c>
      <c r="K242" s="804" t="str">
        <f>VLOOKUP(J242,RKPANL!B:D,2,0)</f>
        <v>Pemasangan 1m2 lantai keramik ukuran 40cm x 40cm</v>
      </c>
      <c r="L242" s="800">
        <f>VLOOKUP(J242,RKPANL!B:D,3,0)</f>
        <v>309005</v>
      </c>
      <c r="M242" s="1061">
        <f>L242*H242</f>
        <v>6966517.7250000006</v>
      </c>
      <c r="N242" s="800"/>
      <c r="O242" s="1127">
        <v>1</v>
      </c>
      <c r="P242" s="800">
        <f>M242*O242</f>
        <v>6966517.7250000006</v>
      </c>
      <c r="Q242" s="1068">
        <f>M242-P242</f>
        <v>0</v>
      </c>
    </row>
    <row r="243" spans="2:17" ht="15.6" outlineLevel="2">
      <c r="B243" s="793"/>
      <c r="C243" s="848"/>
      <c r="D243" s="794">
        <v>2</v>
      </c>
      <c r="E243" s="795" t="s">
        <v>421</v>
      </c>
      <c r="F243" s="795"/>
      <c r="G243" s="796"/>
      <c r="H243" s="797">
        <f>RAB!H241</f>
        <v>15</v>
      </c>
      <c r="I243" s="797" t="str">
        <f>RAB!I241</f>
        <v>M2</v>
      </c>
      <c r="J243" s="797" t="str">
        <f>RAB!J241</f>
        <v>A.4.4.3.36.</v>
      </c>
      <c r="K243" s="804" t="str">
        <f>VLOOKUP(J243,RKPANL!B:D,2,0)</f>
        <v>Pemasangan 1 m2 dinding keramik uk 20 cm x 40 cm</v>
      </c>
      <c r="L243" s="800">
        <f>VLOOKUP(J243,RKPANL!B:D,3,0)</f>
        <v>371622.5</v>
      </c>
      <c r="M243" s="1061">
        <f>L243*H243</f>
        <v>5574337.5</v>
      </c>
      <c r="N243" s="800"/>
      <c r="O243" s="1127">
        <v>1</v>
      </c>
      <c r="P243" s="800">
        <f>M243*O243</f>
        <v>5574337.5</v>
      </c>
      <c r="Q243" s="1068">
        <f>M243-P243</f>
        <v>0</v>
      </c>
    </row>
    <row r="244" spans="2:17" ht="15.6" outlineLevel="2">
      <c r="B244" s="793"/>
      <c r="C244" s="848"/>
      <c r="D244" s="794">
        <v>3</v>
      </c>
      <c r="E244" s="795" t="s">
        <v>481</v>
      </c>
      <c r="F244" s="795"/>
      <c r="G244" s="796"/>
      <c r="H244" s="797">
        <f>RAB!H242</f>
        <v>22.545000000000002</v>
      </c>
      <c r="I244" s="797" t="str">
        <f>RAB!I242</f>
        <v>M2</v>
      </c>
      <c r="J244" s="797" t="str">
        <f>RAB!J242</f>
        <v>Anl. WP-1</v>
      </c>
      <c r="K244" s="804" t="str">
        <f>VLOOKUP(J244,RKPANL!B:D,2,0)</f>
        <v>Pemasangan 1 m2 waterproofing onducoat PA 
campuran 1SP :4PP</v>
      </c>
      <c r="L244" s="800">
        <f>VLOOKUP(J244,RKPANL!B:D,3,0)</f>
        <v>172097.5</v>
      </c>
      <c r="M244" s="1061">
        <f>L244*H244</f>
        <v>3879938.1375000002</v>
      </c>
      <c r="N244" s="800"/>
      <c r="O244" s="1127">
        <v>1</v>
      </c>
      <c r="P244" s="800">
        <f>M244*O244</f>
        <v>3879938.1375000002</v>
      </c>
      <c r="Q244" s="1068">
        <f>M244-P244</f>
        <v>0</v>
      </c>
    </row>
    <row r="245" spans="2:17" ht="15.6" outlineLevel="2">
      <c r="B245" s="793"/>
      <c r="C245" s="848"/>
      <c r="D245" s="794"/>
      <c r="E245" s="795"/>
      <c r="F245" s="795"/>
      <c r="G245" s="796"/>
      <c r="H245" s="797"/>
      <c r="I245" s="798"/>
      <c r="J245" s="798"/>
      <c r="K245" s="804"/>
      <c r="L245" s="800"/>
      <c r="M245" s="1061"/>
      <c r="N245" s="800"/>
      <c r="O245" s="841"/>
      <c r="P245" s="800"/>
      <c r="Q245" s="1068"/>
    </row>
    <row r="246" spans="2:17" ht="15.6" outlineLevel="2">
      <c r="B246" s="793"/>
      <c r="C246" s="848" t="s">
        <v>17</v>
      </c>
      <c r="D246" s="696" t="s">
        <v>353</v>
      </c>
      <c r="E246" s="849"/>
      <c r="F246" s="795"/>
      <c r="G246" s="796"/>
      <c r="H246" s="797"/>
      <c r="I246" s="798"/>
      <c r="J246" s="798"/>
      <c r="K246" s="804"/>
      <c r="L246" s="800"/>
      <c r="M246" s="1061"/>
      <c r="N246" s="800"/>
      <c r="O246" s="841"/>
      <c r="P246" s="800"/>
      <c r="Q246" s="1068"/>
    </row>
    <row r="247" spans="2:17" ht="15.6" outlineLevel="2">
      <c r="B247" s="793"/>
      <c r="C247" s="848"/>
      <c r="D247" s="850">
        <v>1</v>
      </c>
      <c r="E247" s="845" t="s">
        <v>900</v>
      </c>
      <c r="F247" s="795"/>
      <c r="G247" s="796"/>
      <c r="H247" s="797">
        <f>RAB!H245</f>
        <v>19</v>
      </c>
      <c r="I247" s="797" t="str">
        <f>RAB!I245</f>
        <v>Titik</v>
      </c>
      <c r="J247" s="797" t="str">
        <f>RAB!J245</f>
        <v>Hit. EL.1</v>
      </c>
      <c r="K247" s="804" t="str">
        <f>VLOOKUP(J247,RKPANL!B:D,2,0)</f>
        <v>Pasang 1 Titik Instalasi Penerangan dan Stop Kontak dengan Kabel NYA 2x2,5 mm</v>
      </c>
      <c r="L247" s="800">
        <f>VLOOKUP(J247,RKPANL!B:D,3,0)</f>
        <v>232084.375</v>
      </c>
      <c r="M247" s="1061">
        <f>L247*H247</f>
        <v>4409603.125</v>
      </c>
      <c r="N247" s="800"/>
      <c r="O247" s="1127">
        <v>0.95079999999999998</v>
      </c>
      <c r="P247" s="800">
        <f>M247*O247</f>
        <v>4192650.6512500001</v>
      </c>
      <c r="Q247" s="1068">
        <f>M247-P247</f>
        <v>216952.47374999989</v>
      </c>
    </row>
    <row r="248" spans="2:17" ht="15.6" outlineLevel="2">
      <c r="B248" s="793"/>
      <c r="C248" s="848"/>
      <c r="D248" s="850">
        <v>2</v>
      </c>
      <c r="E248" s="845" t="s">
        <v>842</v>
      </c>
      <c r="F248" s="795"/>
      <c r="G248" s="796"/>
      <c r="H248" s="797">
        <f>RAB!H246</f>
        <v>19</v>
      </c>
      <c r="I248" s="797" t="str">
        <f>RAB!I246</f>
        <v>Unit</v>
      </c>
      <c r="J248" s="797" t="str">
        <f>RAB!J246</f>
        <v>Hit. EL.7</v>
      </c>
      <c r="K248" s="804" t="str">
        <f>VLOOKUP(J248,RKPANL!B:D,2,0)</f>
        <v>Pasang 1 buah Lampu LED 7 watt + Fitting Down Light</v>
      </c>
      <c r="L248" s="800">
        <f>VLOOKUP(J248,RKPANL!B:D,3,0)</f>
        <v>121813.75</v>
      </c>
      <c r="M248" s="1061">
        <f>L248*H248</f>
        <v>2314461.25</v>
      </c>
      <c r="N248" s="800"/>
      <c r="O248" s="1127">
        <v>1</v>
      </c>
      <c r="P248" s="800">
        <f>M248*O248</f>
        <v>2314461.25</v>
      </c>
      <c r="Q248" s="1068">
        <f>M248-P248</f>
        <v>0</v>
      </c>
    </row>
    <row r="249" spans="2:17" ht="15.6" outlineLevel="2">
      <c r="B249" s="793"/>
      <c r="C249" s="848"/>
      <c r="D249" s="794"/>
      <c r="E249" s="795"/>
      <c r="F249" s="795"/>
      <c r="G249" s="796"/>
      <c r="H249" s="797"/>
      <c r="I249" s="798"/>
      <c r="J249" s="798"/>
      <c r="K249" s="804"/>
      <c r="L249" s="800"/>
      <c r="M249" s="1061"/>
      <c r="N249" s="800"/>
      <c r="O249" s="841"/>
      <c r="P249" s="800"/>
      <c r="Q249" s="1068"/>
    </row>
    <row r="250" spans="2:17" ht="15.6" outlineLevel="2">
      <c r="B250" s="793"/>
      <c r="C250" s="848" t="s">
        <v>18</v>
      </c>
      <c r="D250" s="696" t="s">
        <v>467</v>
      </c>
      <c r="E250" s="849"/>
      <c r="F250" s="795"/>
      <c r="G250" s="817"/>
      <c r="H250" s="797"/>
      <c r="I250" s="798"/>
      <c r="J250" s="798"/>
      <c r="K250" s="804"/>
      <c r="L250" s="800"/>
      <c r="M250" s="1061"/>
      <c r="N250" s="800"/>
      <c r="O250" s="841"/>
      <c r="P250" s="800"/>
      <c r="Q250" s="1068"/>
    </row>
    <row r="251" spans="2:17" ht="15.6" outlineLevel="2">
      <c r="B251" s="793"/>
      <c r="C251" s="848"/>
      <c r="D251" s="794">
        <v>1</v>
      </c>
      <c r="E251" s="845" t="s">
        <v>416</v>
      </c>
      <c r="F251" s="795"/>
      <c r="G251" s="817"/>
      <c r="H251" s="797">
        <f>RAB!H249</f>
        <v>9</v>
      </c>
      <c r="I251" s="797" t="str">
        <f>RAB!I249</f>
        <v>Unit</v>
      </c>
      <c r="J251" s="797" t="str">
        <f>RAB!J249</f>
        <v>A.5.1.1.19.</v>
      </c>
      <c r="K251" s="804" t="str">
        <f>VLOOKUP(J251,RKPANL!B:D,2,0)</f>
        <v>Pemasangan 1 buah kran diameter ½” atau ¾ ”</v>
      </c>
      <c r="L251" s="800">
        <f>VLOOKUP(J251,RKPANL!B:D,3,0)</f>
        <v>141881.25</v>
      </c>
      <c r="M251" s="1061">
        <f>L251*H251</f>
        <v>1276931.25</v>
      </c>
      <c r="N251" s="800"/>
      <c r="O251" s="1127">
        <v>0.98880000000000001</v>
      </c>
      <c r="P251" s="800">
        <f>M251*O251</f>
        <v>1262629.6200000001</v>
      </c>
      <c r="Q251" s="1068">
        <f>M251-P251</f>
        <v>14301.629999999888</v>
      </c>
    </row>
    <row r="252" spans="2:17" ht="15.6" outlineLevel="2">
      <c r="B252" s="793"/>
      <c r="C252" s="848"/>
      <c r="D252" s="794">
        <v>2</v>
      </c>
      <c r="E252" s="845" t="s">
        <v>517</v>
      </c>
      <c r="F252" s="795"/>
      <c r="G252" s="817"/>
      <c r="H252" s="797">
        <f>RAB!H250</f>
        <v>8</v>
      </c>
      <c r="I252" s="797" t="str">
        <f>RAB!I250</f>
        <v>Unit</v>
      </c>
      <c r="J252" s="797" t="str">
        <f>RAB!J250</f>
        <v>A.5.1.1.15.</v>
      </c>
      <c r="K252" s="804" t="str">
        <f>VLOOKUP(J252,RKPANL!B:D,2,0)</f>
        <v>Pemasangan 1 buah Push Kran Urinoir</v>
      </c>
      <c r="L252" s="800">
        <f>VLOOKUP(J252,RKPANL!B:D,3,0)</f>
        <v>311448.75</v>
      </c>
      <c r="M252" s="1061">
        <f>L252*H252</f>
        <v>2491590</v>
      </c>
      <c r="N252" s="800"/>
      <c r="O252" s="1127">
        <v>0.98880000000000001</v>
      </c>
      <c r="P252" s="800">
        <f>M252*O252</f>
        <v>2463684.1919999998</v>
      </c>
      <c r="Q252" s="1068">
        <f>M252-P252</f>
        <v>27905.808000000194</v>
      </c>
    </row>
    <row r="253" spans="2:17" ht="15.6" outlineLevel="2">
      <c r="B253" s="793"/>
      <c r="C253" s="848"/>
      <c r="D253" s="794">
        <v>3</v>
      </c>
      <c r="E253" s="846" t="s">
        <v>418</v>
      </c>
      <c r="F253" s="795"/>
      <c r="G253" s="817"/>
      <c r="H253" s="797">
        <f>RAB!H251</f>
        <v>9</v>
      </c>
      <c r="I253" s="797" t="str">
        <f>RAB!I251</f>
        <v>Unit</v>
      </c>
      <c r="J253" s="797" t="str">
        <f>RAB!J251</f>
        <v>A.5.1.1.14.</v>
      </c>
      <c r="K253" s="804" t="str">
        <f>VLOOKUP(J253,RKPANL!B:D,2,0)</f>
        <v>Pemasangan 1 buah floor drain</v>
      </c>
      <c r="L253" s="800">
        <f>VLOOKUP(J253,RKPANL!B:D,3,0)</f>
        <v>161028.75</v>
      </c>
      <c r="M253" s="1061">
        <f>L253*H253</f>
        <v>1449258.75</v>
      </c>
      <c r="N253" s="800"/>
      <c r="O253" s="1127">
        <v>0.60099999999999998</v>
      </c>
      <c r="P253" s="800">
        <f>M253*O253</f>
        <v>871004.50874999992</v>
      </c>
      <c r="Q253" s="1068">
        <f>M253-P253</f>
        <v>578254.24125000008</v>
      </c>
    </row>
    <row r="254" spans="2:17" ht="15.6" outlineLevel="2">
      <c r="B254" s="851"/>
      <c r="C254" s="848"/>
      <c r="D254" s="794"/>
      <c r="E254" s="794"/>
      <c r="F254" s="795"/>
      <c r="G254" s="817"/>
      <c r="H254" s="797"/>
      <c r="I254" s="852"/>
      <c r="J254" s="798"/>
      <c r="K254" s="804"/>
      <c r="L254" s="800"/>
      <c r="M254" s="1061"/>
      <c r="N254" s="800"/>
      <c r="O254" s="841"/>
      <c r="P254" s="800"/>
      <c r="Q254" s="1068"/>
    </row>
    <row r="255" spans="2:17" ht="15.6" outlineLevel="2">
      <c r="B255" s="793"/>
      <c r="C255" s="848" t="s">
        <v>19</v>
      </c>
      <c r="D255" s="696" t="s">
        <v>634</v>
      </c>
      <c r="E255" s="849"/>
      <c r="F255" s="795"/>
      <c r="G255" s="817"/>
      <c r="H255" s="797"/>
      <c r="I255" s="798"/>
      <c r="J255" s="798"/>
      <c r="K255" s="804"/>
      <c r="L255" s="800"/>
      <c r="M255" s="1061"/>
      <c r="N255" s="800"/>
      <c r="O255" s="841"/>
      <c r="P255" s="800"/>
      <c r="Q255" s="1068"/>
    </row>
    <row r="256" spans="2:17" ht="15.6" outlineLevel="2">
      <c r="B256" s="793"/>
      <c r="C256" s="848"/>
      <c r="D256" s="794">
        <v>1</v>
      </c>
      <c r="E256" s="846" t="s">
        <v>628</v>
      </c>
      <c r="F256" s="795"/>
      <c r="G256" s="817"/>
      <c r="H256" s="797">
        <f>RAB!H254</f>
        <v>30</v>
      </c>
      <c r="I256" s="797" t="str">
        <f>RAB!I254</f>
        <v>M'</v>
      </c>
      <c r="J256" s="797" t="str">
        <f>RAB!J254</f>
        <v>A.5.1.1 25.</v>
      </c>
      <c r="K256" s="804" t="str">
        <f>VLOOKUP(J256,RKPANL!B:D,2,0)</f>
        <v>Pemasangan 1 m’ pipa PVC tipe AW diameter ½ ”</v>
      </c>
      <c r="L256" s="800">
        <f>VLOOKUP(J256,RKPANL!B:D,3,0)</f>
        <v>41465.166666666672</v>
      </c>
      <c r="M256" s="1061">
        <f t="shared" ref="M256:M261" si="22">L256*H256</f>
        <v>1243955.0000000002</v>
      </c>
      <c r="N256" s="800"/>
      <c r="O256" s="1127">
        <v>0.72660000000000002</v>
      </c>
      <c r="P256" s="800">
        <f t="shared" ref="P256:P261" si="23">M256*O256</f>
        <v>903857.70300000021</v>
      </c>
      <c r="Q256" s="1068">
        <f t="shared" ref="Q256:Q261" si="24">M256-P256</f>
        <v>340097.29700000002</v>
      </c>
    </row>
    <row r="257" spans="2:17" ht="15.6" outlineLevel="2">
      <c r="B257" s="793"/>
      <c r="C257" s="848"/>
      <c r="D257" s="794">
        <v>2</v>
      </c>
      <c r="E257" s="846" t="s">
        <v>629</v>
      </c>
      <c r="F257" s="795"/>
      <c r="G257" s="817"/>
      <c r="H257" s="797">
        <f>RAB!H255</f>
        <v>24</v>
      </c>
      <c r="I257" s="797" t="str">
        <f>RAB!I255</f>
        <v>M'</v>
      </c>
      <c r="J257" s="797" t="str">
        <f>RAB!J255</f>
        <v>A.5.1.1 26.</v>
      </c>
      <c r="K257" s="804" t="str">
        <f>VLOOKUP(J257,RKPANL!B:D,2,0)</f>
        <v>Pemasangan 1 m’ pipa PVC tipe AW diameter 3/4 ”</v>
      </c>
      <c r="L257" s="800">
        <f>VLOOKUP(J257,RKPANL!B:D,3,0)</f>
        <v>32552.666666666664</v>
      </c>
      <c r="M257" s="1061">
        <f t="shared" si="22"/>
        <v>781264</v>
      </c>
      <c r="N257" s="800"/>
      <c r="O257" s="1127">
        <v>0.72660000000000002</v>
      </c>
      <c r="P257" s="800">
        <f t="shared" si="23"/>
        <v>567666.42240000004</v>
      </c>
      <c r="Q257" s="1068">
        <f t="shared" si="24"/>
        <v>213597.57759999996</v>
      </c>
    </row>
    <row r="258" spans="2:17" ht="15.6" outlineLevel="2">
      <c r="B258" s="793"/>
      <c r="C258" s="848"/>
      <c r="D258" s="794">
        <v>3</v>
      </c>
      <c r="E258" s="846" t="s">
        <v>630</v>
      </c>
      <c r="F258" s="795"/>
      <c r="G258" s="817"/>
      <c r="H258" s="797">
        <f>RAB!H256</f>
        <v>24</v>
      </c>
      <c r="I258" s="797" t="str">
        <f>RAB!I256</f>
        <v>M'</v>
      </c>
      <c r="J258" s="797" t="str">
        <f>RAB!J256</f>
        <v>A.5.1.1 27.</v>
      </c>
      <c r="K258" s="804" t="str">
        <f>VLOOKUP(J258,RKPANL!B:D,2,0)</f>
        <v>Pemasangan 1 m’ pipa PVC tipe AW diameter 1”</v>
      </c>
      <c r="L258" s="800">
        <f>VLOOKUP(J258,RKPANL!B:D,3,0)</f>
        <v>44372.75</v>
      </c>
      <c r="M258" s="1061">
        <f t="shared" si="22"/>
        <v>1064946</v>
      </c>
      <c r="N258" s="800"/>
      <c r="O258" s="1127">
        <v>0.72660000000000002</v>
      </c>
      <c r="P258" s="800">
        <f t="shared" si="23"/>
        <v>773789.76360000006</v>
      </c>
      <c r="Q258" s="1068">
        <f t="shared" si="24"/>
        <v>291156.23639999994</v>
      </c>
    </row>
    <row r="259" spans="2:17" ht="15.6" outlineLevel="2">
      <c r="B259" s="793"/>
      <c r="C259" s="848"/>
      <c r="D259" s="794">
        <v>4</v>
      </c>
      <c r="E259" s="846" t="s">
        <v>631</v>
      </c>
      <c r="F259" s="795"/>
      <c r="G259" s="817"/>
      <c r="H259" s="797">
        <f>RAB!H257</f>
        <v>24</v>
      </c>
      <c r="I259" s="797" t="str">
        <f>RAB!I257</f>
        <v>M'</v>
      </c>
      <c r="J259" s="797" t="str">
        <f>RAB!J257</f>
        <v>A.5.1.1 28.</v>
      </c>
      <c r="K259" s="804" t="str">
        <f>VLOOKUP(J259,RKPANL!B:D,2,0)</f>
        <v>Pemasangan 1 m’ pipa PVC tipe AW diameter 1 ½ ”</v>
      </c>
      <c r="L259" s="800">
        <f>VLOOKUP(J259,RKPANL!B:D,3,0)</f>
        <v>50314.416666666672</v>
      </c>
      <c r="M259" s="1061">
        <f t="shared" si="22"/>
        <v>1207546</v>
      </c>
      <c r="N259" s="800"/>
      <c r="O259" s="1127">
        <v>0.72660000000000002</v>
      </c>
      <c r="P259" s="800">
        <f t="shared" si="23"/>
        <v>877402.92359999998</v>
      </c>
      <c r="Q259" s="1068">
        <f t="shared" si="24"/>
        <v>330143.07640000002</v>
      </c>
    </row>
    <row r="260" spans="2:17" ht="15.6" outlineLevel="2">
      <c r="B260" s="793"/>
      <c r="C260" s="848"/>
      <c r="D260" s="794">
        <v>5</v>
      </c>
      <c r="E260" s="846" t="s">
        <v>632</v>
      </c>
      <c r="F260" s="795"/>
      <c r="G260" s="817"/>
      <c r="H260" s="797">
        <f>RAB!H258</f>
        <v>12</v>
      </c>
      <c r="I260" s="797" t="str">
        <f>RAB!I258</f>
        <v>M'</v>
      </c>
      <c r="J260" s="797" t="str">
        <f>RAB!J258</f>
        <v>A.5.1.1 29.</v>
      </c>
      <c r="K260" s="804" t="str">
        <f>VLOOKUP(J260,RKPANL!B:D,2,0)</f>
        <v>Pemasangan 1 m’ pipa PVC tipe AW diameter 2”</v>
      </c>
      <c r="L260" s="800">
        <f>VLOOKUP(J260,RKPANL!B:D,3,0)</f>
        <v>71110.25</v>
      </c>
      <c r="M260" s="1061">
        <f t="shared" si="22"/>
        <v>853323</v>
      </c>
      <c r="N260" s="800"/>
      <c r="O260" s="1127">
        <v>0.72660000000000002</v>
      </c>
      <c r="P260" s="800">
        <f t="shared" si="23"/>
        <v>620024.49180000008</v>
      </c>
      <c r="Q260" s="1068">
        <f t="shared" si="24"/>
        <v>233298.50819999992</v>
      </c>
    </row>
    <row r="261" spans="2:17" ht="15.6" outlineLevel="2">
      <c r="B261" s="793"/>
      <c r="C261" s="848"/>
      <c r="D261" s="794">
        <v>6</v>
      </c>
      <c r="E261" s="846" t="s">
        <v>633</v>
      </c>
      <c r="F261" s="795"/>
      <c r="G261" s="817"/>
      <c r="H261" s="797">
        <f>RAB!H259</f>
        <v>12</v>
      </c>
      <c r="I261" s="797" t="str">
        <f>RAB!I259</f>
        <v>M'</v>
      </c>
      <c r="J261" s="797" t="str">
        <f>RAB!J259</f>
        <v>A.5.1.1 31.</v>
      </c>
      <c r="K261" s="804" t="str">
        <f>VLOOKUP(J261,RKPANL!B:D,2,0)</f>
        <v>Pemasangan 1 m’ pipa PVC tipe AW diameter 3”</v>
      </c>
      <c r="L261" s="800">
        <f>VLOOKUP(J261,RKPANL!B:D,3,0)</f>
        <v>100818.58333333333</v>
      </c>
      <c r="M261" s="1061">
        <f t="shared" si="22"/>
        <v>1209823</v>
      </c>
      <c r="N261" s="800"/>
      <c r="O261" s="1127">
        <v>0.72660000000000002</v>
      </c>
      <c r="P261" s="800">
        <f t="shared" si="23"/>
        <v>879057.39179999998</v>
      </c>
      <c r="Q261" s="1068">
        <f t="shared" si="24"/>
        <v>330765.60820000002</v>
      </c>
    </row>
    <row r="262" spans="2:17" ht="15.6" outlineLevel="2">
      <c r="B262" s="851"/>
      <c r="C262" s="848"/>
      <c r="D262" s="794"/>
      <c r="E262" s="794"/>
      <c r="F262" s="795"/>
      <c r="G262" s="817"/>
      <c r="H262" s="797"/>
      <c r="I262" s="852"/>
      <c r="J262" s="798"/>
      <c r="K262" s="804"/>
      <c r="L262" s="800"/>
      <c r="M262" s="1061"/>
      <c r="N262" s="800"/>
      <c r="O262" s="1127"/>
      <c r="P262" s="800"/>
      <c r="Q262" s="1068"/>
    </row>
    <row r="263" spans="2:17" ht="15.6" outlineLevel="2">
      <c r="B263" s="793"/>
      <c r="C263" s="848" t="s">
        <v>404</v>
      </c>
      <c r="D263" s="696" t="s">
        <v>419</v>
      </c>
      <c r="E263" s="849"/>
      <c r="F263" s="795"/>
      <c r="G263" s="817"/>
      <c r="H263" s="797"/>
      <c r="I263" s="798"/>
      <c r="J263" s="798"/>
      <c r="K263" s="804"/>
      <c r="L263" s="800"/>
      <c r="M263" s="1061"/>
      <c r="N263" s="800"/>
      <c r="O263" s="841"/>
      <c r="P263" s="800"/>
      <c r="Q263" s="1068"/>
    </row>
    <row r="264" spans="2:17" ht="15.6" outlineLevel="2">
      <c r="B264" s="793"/>
      <c r="C264" s="848"/>
      <c r="D264" s="794">
        <v>1</v>
      </c>
      <c r="E264" s="846" t="s">
        <v>907</v>
      </c>
      <c r="F264" s="795"/>
      <c r="G264" s="817"/>
      <c r="H264" s="797">
        <f>RAB!H262</f>
        <v>2</v>
      </c>
      <c r="I264" s="797" t="str">
        <f>RAB!I262</f>
        <v>Unit</v>
      </c>
      <c r="J264" s="797" t="str">
        <f>RAB!J262</f>
        <v>A.4.6.2.2</v>
      </c>
      <c r="K264" s="804" t="str">
        <f>VLOOKUP(J264,RKPANL!B:D,2,0)</f>
        <v>Memasang 1 bh kunci tanam</v>
      </c>
      <c r="L264" s="800">
        <f>VLOOKUP(J264,RKPANL!B:D,3,0)</f>
        <v>305698.75</v>
      </c>
      <c r="M264" s="1061">
        <f>L264*H264</f>
        <v>611397.5</v>
      </c>
      <c r="N264" s="800"/>
      <c r="O264" s="1127">
        <v>1</v>
      </c>
      <c r="P264" s="800">
        <f>M264*O264</f>
        <v>611397.5</v>
      </c>
      <c r="Q264" s="1068">
        <f>M264-P264</f>
        <v>0</v>
      </c>
    </row>
    <row r="265" spans="2:17" ht="15.6" outlineLevel="2">
      <c r="B265" s="793"/>
      <c r="C265" s="848"/>
      <c r="D265" s="794">
        <v>2</v>
      </c>
      <c r="E265" s="846" t="s">
        <v>908</v>
      </c>
      <c r="F265" s="795"/>
      <c r="G265" s="817"/>
      <c r="H265" s="797">
        <f>RAB!H263</f>
        <v>9</v>
      </c>
      <c r="I265" s="797" t="str">
        <f>RAB!I263</f>
        <v>Unit</v>
      </c>
      <c r="J265" s="797" t="str">
        <f>RAB!J263</f>
        <v>Hit. PT.02</v>
      </c>
      <c r="K265" s="804" t="str">
        <f>VLOOKUP(J265,RKPANL!B:D,2,0)</f>
        <v>Memasang 1 bh Pintu Aluminium Uk. 70x200 cm</v>
      </c>
      <c r="L265" s="800">
        <f>VLOOKUP(J265,RKPANL!B:D,3,0)</f>
        <v>1414068.75</v>
      </c>
      <c r="M265" s="1061">
        <f>L265*H265</f>
        <v>12726618.75</v>
      </c>
      <c r="N265" s="800"/>
      <c r="O265" s="1127">
        <v>0.87609999999999999</v>
      </c>
      <c r="P265" s="800">
        <f>M265*O265</f>
        <v>11149790.686875001</v>
      </c>
      <c r="Q265" s="1068">
        <f>M265-P265</f>
        <v>1576828.0631249994</v>
      </c>
    </row>
    <row r="266" spans="2:17" ht="15.6" outlineLevel="2">
      <c r="B266" s="793"/>
      <c r="C266" s="848"/>
      <c r="D266" s="794"/>
      <c r="E266" s="795"/>
      <c r="F266" s="795"/>
      <c r="G266" s="796"/>
      <c r="H266" s="797"/>
      <c r="I266" s="798"/>
      <c r="J266" s="798"/>
      <c r="K266" s="841"/>
      <c r="L266" s="800"/>
      <c r="M266" s="1061"/>
      <c r="N266" s="800"/>
      <c r="O266" s="841"/>
      <c r="P266" s="800"/>
      <c r="Q266" s="1068"/>
    </row>
    <row r="267" spans="2:17" ht="15.6" outlineLevel="2">
      <c r="B267" s="793"/>
      <c r="C267" s="848" t="s">
        <v>560</v>
      </c>
      <c r="D267" s="696" t="s">
        <v>422</v>
      </c>
      <c r="E267" s="849"/>
      <c r="F267" s="795"/>
      <c r="G267" s="817"/>
      <c r="H267" s="797"/>
      <c r="I267" s="798"/>
      <c r="J267" s="798"/>
      <c r="K267" s="804"/>
      <c r="L267" s="800"/>
      <c r="M267" s="1061"/>
      <c r="N267" s="800"/>
      <c r="O267" s="841"/>
      <c r="P267" s="800"/>
      <c r="Q267" s="1068"/>
    </row>
    <row r="268" spans="2:17" ht="15.6" outlineLevel="2">
      <c r="B268" s="793"/>
      <c r="C268" s="802"/>
      <c r="D268" s="850">
        <v>1</v>
      </c>
      <c r="E268" s="845" t="s">
        <v>920</v>
      </c>
      <c r="F268" s="795"/>
      <c r="G268" s="817"/>
      <c r="H268" s="797">
        <f>RAB!H266</f>
        <v>82.07</v>
      </c>
      <c r="I268" s="797" t="str">
        <f>RAB!I266</f>
        <v>M2</v>
      </c>
      <c r="J268" s="797" t="str">
        <f>RAB!J266</f>
        <v>A.4.7.1.11.</v>
      </c>
      <c r="K268" s="804" t="str">
        <f>VLOOKUP(J268,RKPANL!B:D,2,0)</f>
        <v>Pengecatan 1 m2 Tembok Lama (1 Lapis Cat Dasar, 2 Lapis Cat 
Penutup) 
lapis cat penutup)</v>
      </c>
      <c r="L268" s="800">
        <f>VLOOKUP(J268,RKPANL!B:D,3,0)</f>
        <v>43204.35</v>
      </c>
      <c r="M268" s="1061">
        <f>L268*H268</f>
        <v>3545781.0044999998</v>
      </c>
      <c r="N268" s="800"/>
      <c r="O268" s="1127">
        <v>0.70269999999999999</v>
      </c>
      <c r="P268" s="800">
        <f>M268*O268</f>
        <v>2491620.3118621497</v>
      </c>
      <c r="Q268" s="1068">
        <f>M268-P268</f>
        <v>1054160.6926378501</v>
      </c>
    </row>
    <row r="269" spans="2:17" ht="15.6" outlineLevel="2">
      <c r="B269" s="793"/>
      <c r="C269" s="802"/>
      <c r="D269" s="850">
        <v>2</v>
      </c>
      <c r="E269" s="845" t="s">
        <v>445</v>
      </c>
      <c r="F269" s="795"/>
      <c r="G269" s="817"/>
      <c r="H269" s="797">
        <f>RAB!H267</f>
        <v>22.545000000000002</v>
      </c>
      <c r="I269" s="797" t="str">
        <f>RAB!I267</f>
        <v>M2</v>
      </c>
      <c r="J269" s="797" t="str">
        <f>RAB!J267</f>
        <v>A.4.7.1.10.</v>
      </c>
      <c r="K269" s="804" t="str">
        <f>VLOOKUP(J269,RKPANL!B:D,2,0)</f>
        <v>Pengecatan 1 m2 tembok baru (1 lapis plamuur, 1 lapis cat dasar, 2
lapis cat penutup)</v>
      </c>
      <c r="L269" s="800">
        <f>VLOOKUP(J269,RKPANL!B:D,3,0)</f>
        <v>55114.9</v>
      </c>
      <c r="M269" s="1061">
        <f>L269*H269</f>
        <v>1242565.4205000002</v>
      </c>
      <c r="N269" s="800"/>
      <c r="O269" s="1127">
        <v>0.70269999999999999</v>
      </c>
      <c r="P269" s="800">
        <f>M269*O269</f>
        <v>873150.7209853502</v>
      </c>
      <c r="Q269" s="1068">
        <f>M269-P269</f>
        <v>369414.69951465004</v>
      </c>
    </row>
    <row r="270" spans="2:17" outlineLevel="2">
      <c r="B270" s="793"/>
      <c r="C270" s="802"/>
      <c r="D270" s="794"/>
      <c r="E270" s="795"/>
      <c r="F270" s="795"/>
      <c r="G270" s="796"/>
      <c r="H270" s="797"/>
      <c r="I270" s="798"/>
      <c r="J270" s="798"/>
      <c r="K270" s="841"/>
      <c r="L270" s="800"/>
      <c r="M270" s="1061"/>
      <c r="N270" s="800"/>
      <c r="O270" s="841"/>
      <c r="P270" s="800"/>
      <c r="Q270" s="1068"/>
    </row>
    <row r="271" spans="2:17" ht="15.6" outlineLevel="1">
      <c r="B271" s="1093"/>
      <c r="C271" s="1094"/>
      <c r="D271" s="1094"/>
      <c r="E271" s="1094"/>
      <c r="F271" s="1094"/>
      <c r="G271" s="1094"/>
      <c r="H271" s="1095"/>
      <c r="I271" s="1094"/>
      <c r="J271" s="1094"/>
      <c r="K271" s="1095"/>
      <c r="L271" s="1099"/>
      <c r="M271" s="1100" t="s">
        <v>833</v>
      </c>
      <c r="N271" s="1096">
        <f>SUM(M238:M269)</f>
        <v>56349857.412500001</v>
      </c>
      <c r="O271" s="1123"/>
      <c r="P271" s="1096">
        <f t="shared" ref="P271:Q271" si="25">SUM(P236:P270)</f>
        <v>50772981.500422508</v>
      </c>
      <c r="Q271" s="1101">
        <f t="shared" si="25"/>
        <v>5576875.9120774996</v>
      </c>
    </row>
    <row r="272" spans="2:17" ht="15.6" outlineLevel="1">
      <c r="B272" s="880"/>
      <c r="C272" s="1187" t="s">
        <v>816</v>
      </c>
      <c r="D272" s="696" t="s">
        <v>369</v>
      </c>
      <c r="E272" s="875"/>
      <c r="F272" s="795"/>
      <c r="G272" s="796"/>
      <c r="H272" s="797"/>
      <c r="I272" s="798"/>
      <c r="J272" s="798"/>
      <c r="K272" s="895"/>
      <c r="L272" s="877"/>
      <c r="M272" s="1060"/>
      <c r="N272" s="877"/>
      <c r="O272" s="895"/>
      <c r="P272" s="877"/>
      <c r="Q272" s="1067"/>
    </row>
    <row r="273" spans="2:17" ht="15.6" outlineLevel="2">
      <c r="B273" s="793"/>
      <c r="C273" s="848" t="s">
        <v>2</v>
      </c>
      <c r="D273" s="696" t="s">
        <v>349</v>
      </c>
      <c r="E273" s="849"/>
      <c r="F273" s="795"/>
      <c r="G273" s="796"/>
      <c r="H273" s="797"/>
      <c r="I273" s="798"/>
      <c r="J273" s="798"/>
      <c r="K273" s="804"/>
      <c r="L273" s="800"/>
      <c r="M273" s="1061"/>
      <c r="N273" s="800"/>
      <c r="O273" s="841"/>
      <c r="P273" s="800"/>
      <c r="Q273" s="1068"/>
    </row>
    <row r="274" spans="2:17" ht="15.6" outlineLevel="2">
      <c r="B274" s="793"/>
      <c r="C274" s="848"/>
      <c r="D274" s="794">
        <v>1</v>
      </c>
      <c r="E274" s="795" t="s">
        <v>899</v>
      </c>
      <c r="F274" s="795"/>
      <c r="G274" s="796"/>
      <c r="H274" s="797">
        <f>RAB!H272</f>
        <v>1</v>
      </c>
      <c r="I274" s="797" t="str">
        <f>RAB!I272</f>
        <v>Ls</v>
      </c>
      <c r="J274" s="797" t="str">
        <f>RAB!J272</f>
        <v>Taksir</v>
      </c>
      <c r="K274" s="804" t="e">
        <f>VLOOKUP(J274,RKPANL!B:D,2,0)</f>
        <v>#N/A</v>
      </c>
      <c r="L274" s="800">
        <f>RAB!L272</f>
        <v>2000000</v>
      </c>
      <c r="M274" s="1061">
        <f>L274*H274</f>
        <v>2000000</v>
      </c>
      <c r="N274" s="800"/>
      <c r="O274" s="1127">
        <v>1</v>
      </c>
      <c r="P274" s="800">
        <f>M274*O274</f>
        <v>2000000</v>
      </c>
      <c r="Q274" s="1068">
        <f>M274-P274</f>
        <v>0</v>
      </c>
    </row>
    <row r="275" spans="2:17" ht="15.6" outlineLevel="2">
      <c r="B275" s="793"/>
      <c r="C275" s="848"/>
      <c r="D275" s="794">
        <v>2</v>
      </c>
      <c r="E275" s="795" t="s">
        <v>415</v>
      </c>
      <c r="F275" s="795"/>
      <c r="G275" s="796"/>
      <c r="H275" s="797">
        <f>RAB!H273</f>
        <v>1</v>
      </c>
      <c r="I275" s="797" t="str">
        <f>RAB!I273</f>
        <v>Ls</v>
      </c>
      <c r="J275" s="797" t="str">
        <f>RAB!J273</f>
        <v>Taksir</v>
      </c>
      <c r="K275" s="804" t="e">
        <f>VLOOKUP(J275,RKPANL!B:D,2,0)</f>
        <v>#N/A</v>
      </c>
      <c r="L275" s="800">
        <f>RAB!L273</f>
        <v>1500000</v>
      </c>
      <c r="M275" s="1061">
        <f>L275*H275</f>
        <v>1500000</v>
      </c>
      <c r="N275" s="800"/>
      <c r="O275" s="1127">
        <v>1</v>
      </c>
      <c r="P275" s="800">
        <f>M275*O275</f>
        <v>1500000</v>
      </c>
      <c r="Q275" s="1068">
        <f>M275-P275</f>
        <v>0</v>
      </c>
    </row>
    <row r="276" spans="2:17" ht="15.6" outlineLevel="2">
      <c r="B276" s="793"/>
      <c r="C276" s="848"/>
      <c r="D276" s="794"/>
      <c r="E276" s="812"/>
      <c r="F276" s="795"/>
      <c r="G276" s="796"/>
      <c r="H276" s="797"/>
      <c r="I276" s="798"/>
      <c r="J276" s="798"/>
      <c r="K276" s="804"/>
      <c r="L276" s="800"/>
      <c r="M276" s="1061"/>
      <c r="N276" s="800"/>
      <c r="O276" s="1128"/>
      <c r="P276" s="800"/>
      <c r="Q276" s="1068"/>
    </row>
    <row r="277" spans="2:17" ht="15.6" outlineLevel="2">
      <c r="B277" s="793"/>
      <c r="C277" s="848" t="s">
        <v>16</v>
      </c>
      <c r="D277" s="696" t="s">
        <v>400</v>
      </c>
      <c r="E277" s="849"/>
      <c r="F277" s="795"/>
      <c r="G277" s="796"/>
      <c r="H277" s="797"/>
      <c r="I277" s="798"/>
      <c r="J277" s="798"/>
      <c r="K277" s="804"/>
      <c r="L277" s="800"/>
      <c r="M277" s="1061"/>
      <c r="N277" s="800"/>
      <c r="O277" s="841"/>
      <c r="P277" s="800"/>
      <c r="Q277" s="1068"/>
    </row>
    <row r="278" spans="2:17" ht="15.6" outlineLevel="2">
      <c r="B278" s="793"/>
      <c r="C278" s="848"/>
      <c r="D278" s="794">
        <v>1</v>
      </c>
      <c r="E278" s="795" t="s">
        <v>890</v>
      </c>
      <c r="F278" s="795"/>
      <c r="G278" s="796"/>
      <c r="H278" s="797">
        <f>RAB!H276</f>
        <v>60.45</v>
      </c>
      <c r="I278" s="797" t="str">
        <f>RAB!I276</f>
        <v>M2</v>
      </c>
      <c r="J278" s="797" t="str">
        <f>RAB!J276</f>
        <v>A.4.4.3.35.</v>
      </c>
      <c r="K278" s="804" t="str">
        <f>VLOOKUP(J278,RKPANL!B:D,2,0)</f>
        <v>Pemasangan 1m2 lantai keramik ukuran 40cm x 40cm</v>
      </c>
      <c r="L278" s="800">
        <f>VLOOKUP(J278,RKPANL!B:D,3,0)</f>
        <v>309005</v>
      </c>
      <c r="M278" s="1061">
        <f>L278*H278</f>
        <v>18679352.25</v>
      </c>
      <c r="N278" s="800"/>
      <c r="O278" s="1127">
        <v>1</v>
      </c>
      <c r="P278" s="800">
        <f>M278*O278</f>
        <v>18679352.25</v>
      </c>
      <c r="Q278" s="1068">
        <f>M278-P278</f>
        <v>0</v>
      </c>
    </row>
    <row r="279" spans="2:17" ht="15.6" outlineLevel="2">
      <c r="B279" s="793"/>
      <c r="C279" s="848"/>
      <c r="D279" s="794">
        <v>2</v>
      </c>
      <c r="E279" s="795" t="s">
        <v>421</v>
      </c>
      <c r="F279" s="795"/>
      <c r="G279" s="796"/>
      <c r="H279" s="797">
        <f>RAB!H277</f>
        <v>15</v>
      </c>
      <c r="I279" s="797" t="str">
        <f>RAB!I277</f>
        <v>M2</v>
      </c>
      <c r="J279" s="797" t="str">
        <f>RAB!J277</f>
        <v>A.4.4.3.36.</v>
      </c>
      <c r="K279" s="804" t="str">
        <f>VLOOKUP(J279,RKPANL!B:D,2,0)</f>
        <v>Pemasangan 1 m2 dinding keramik uk 20 cm x 40 cm</v>
      </c>
      <c r="L279" s="800">
        <f>VLOOKUP(J279,RKPANL!B:D,3,0)</f>
        <v>371622.5</v>
      </c>
      <c r="M279" s="1061">
        <f>L279*H279</f>
        <v>5574337.5</v>
      </c>
      <c r="N279" s="800"/>
      <c r="O279" s="1127">
        <v>1</v>
      </c>
      <c r="P279" s="800">
        <f>M279*O279</f>
        <v>5574337.5</v>
      </c>
      <c r="Q279" s="1068">
        <f>M279-P279</f>
        <v>0</v>
      </c>
    </row>
    <row r="280" spans="2:17" ht="15.6" outlineLevel="2">
      <c r="B280" s="793"/>
      <c r="C280" s="848"/>
      <c r="D280" s="794">
        <v>3</v>
      </c>
      <c r="E280" s="795" t="s">
        <v>481</v>
      </c>
      <c r="F280" s="795"/>
      <c r="G280" s="796"/>
      <c r="H280" s="797">
        <f>RAB!H278</f>
        <v>60.45</v>
      </c>
      <c r="I280" s="797" t="str">
        <f>RAB!I278</f>
        <v>M2</v>
      </c>
      <c r="J280" s="797" t="str">
        <f>RAB!J278</f>
        <v>Anl. WP-1</v>
      </c>
      <c r="K280" s="804" t="str">
        <f>VLOOKUP(J280,RKPANL!B:D,2,0)</f>
        <v>Pemasangan 1 m2 waterproofing onducoat PA 
campuran 1SP :4PP</v>
      </c>
      <c r="L280" s="800">
        <f>VLOOKUP(J280,RKPANL!B:D,3,0)</f>
        <v>172097.5</v>
      </c>
      <c r="M280" s="1061">
        <f>L280*H280</f>
        <v>10403293.875</v>
      </c>
      <c r="N280" s="800"/>
      <c r="O280" s="1127">
        <v>1</v>
      </c>
      <c r="P280" s="800">
        <f>M280*O280</f>
        <v>10403293.875</v>
      </c>
      <c r="Q280" s="1068">
        <f>M280-P280</f>
        <v>0</v>
      </c>
    </row>
    <row r="281" spans="2:17" ht="15.6" outlineLevel="2">
      <c r="B281" s="793"/>
      <c r="C281" s="848"/>
      <c r="D281" s="794"/>
      <c r="E281" s="795"/>
      <c r="F281" s="795"/>
      <c r="G281" s="796"/>
      <c r="H281" s="797"/>
      <c r="I281" s="798"/>
      <c r="J281" s="798"/>
      <c r="K281" s="804"/>
      <c r="L281" s="800"/>
      <c r="M281" s="1061"/>
      <c r="N281" s="800"/>
      <c r="O281" s="841"/>
      <c r="P281" s="800"/>
      <c r="Q281" s="1068"/>
    </row>
    <row r="282" spans="2:17" ht="15.6" outlineLevel="2">
      <c r="B282" s="793"/>
      <c r="C282" s="848" t="s">
        <v>17</v>
      </c>
      <c r="D282" s="696" t="s">
        <v>353</v>
      </c>
      <c r="E282" s="849"/>
      <c r="F282" s="795"/>
      <c r="G282" s="796"/>
      <c r="H282" s="797"/>
      <c r="I282" s="798"/>
      <c r="J282" s="798"/>
      <c r="K282" s="804"/>
      <c r="L282" s="800"/>
      <c r="M282" s="1061"/>
      <c r="N282" s="800"/>
      <c r="O282" s="841"/>
      <c r="P282" s="800"/>
      <c r="Q282" s="1068"/>
    </row>
    <row r="283" spans="2:17" ht="15.6" outlineLevel="2">
      <c r="B283" s="793"/>
      <c r="C283" s="848"/>
      <c r="D283" s="850">
        <v>1</v>
      </c>
      <c r="E283" s="845" t="s">
        <v>900</v>
      </c>
      <c r="F283" s="795"/>
      <c r="G283" s="796"/>
      <c r="H283" s="797">
        <f>RAB!H281</f>
        <v>19</v>
      </c>
      <c r="I283" s="797" t="str">
        <f>RAB!I281</f>
        <v>Titik</v>
      </c>
      <c r="J283" s="797" t="str">
        <f>RAB!J281</f>
        <v>Hit. EL.1</v>
      </c>
      <c r="K283" s="804" t="str">
        <f>VLOOKUP(J283,RKPANL!B:D,2,0)</f>
        <v>Pasang 1 Titik Instalasi Penerangan dan Stop Kontak dengan Kabel NYA 2x2,5 mm</v>
      </c>
      <c r="L283" s="800">
        <f>VLOOKUP(J283,RKPANL!B:D,3,0)</f>
        <v>232084.375</v>
      </c>
      <c r="M283" s="1061">
        <f>L283*H283</f>
        <v>4409603.125</v>
      </c>
      <c r="N283" s="800"/>
      <c r="O283" s="1127">
        <v>0.95079999999999998</v>
      </c>
      <c r="P283" s="800">
        <f>M283*O283</f>
        <v>4192650.6512500001</v>
      </c>
      <c r="Q283" s="1068">
        <f>M283-P283</f>
        <v>216952.47374999989</v>
      </c>
    </row>
    <row r="284" spans="2:17" ht="15.6" outlineLevel="2">
      <c r="B284" s="793"/>
      <c r="C284" s="848"/>
      <c r="D284" s="850">
        <v>2</v>
      </c>
      <c r="E284" s="845" t="s">
        <v>842</v>
      </c>
      <c r="F284" s="795"/>
      <c r="G284" s="796"/>
      <c r="H284" s="797">
        <f>RAB!H282</f>
        <v>19</v>
      </c>
      <c r="I284" s="797" t="str">
        <f>RAB!I282</f>
        <v>Unit</v>
      </c>
      <c r="J284" s="797" t="str">
        <f>RAB!J282</f>
        <v>Hit. EL.7</v>
      </c>
      <c r="K284" s="804" t="str">
        <f>VLOOKUP(J284,RKPANL!B:D,2,0)</f>
        <v>Pasang 1 buah Lampu LED 7 watt + Fitting Down Light</v>
      </c>
      <c r="L284" s="800">
        <f>VLOOKUP(J284,RKPANL!B:D,3,0)</f>
        <v>121813.75</v>
      </c>
      <c r="M284" s="1061">
        <f>L284*H284</f>
        <v>2314461.25</v>
      </c>
      <c r="N284" s="800"/>
      <c r="O284" s="1127">
        <v>1</v>
      </c>
      <c r="P284" s="800">
        <f>M284*O284</f>
        <v>2314461.25</v>
      </c>
      <c r="Q284" s="1068">
        <f>M284-P284</f>
        <v>0</v>
      </c>
    </row>
    <row r="285" spans="2:17" ht="15.6" outlineLevel="2">
      <c r="B285" s="793"/>
      <c r="C285" s="848"/>
      <c r="D285" s="794"/>
      <c r="E285" s="795"/>
      <c r="F285" s="795"/>
      <c r="G285" s="796"/>
      <c r="H285" s="797"/>
      <c r="I285" s="798"/>
      <c r="J285" s="798"/>
      <c r="K285" s="804"/>
      <c r="L285" s="800"/>
      <c r="M285" s="1061"/>
      <c r="N285" s="800"/>
      <c r="O285" s="841"/>
      <c r="P285" s="800"/>
      <c r="Q285" s="1068"/>
    </row>
    <row r="286" spans="2:17" ht="15.6" outlineLevel="2">
      <c r="B286" s="793"/>
      <c r="C286" s="848" t="s">
        <v>18</v>
      </c>
      <c r="D286" s="696" t="s">
        <v>467</v>
      </c>
      <c r="E286" s="849"/>
      <c r="F286" s="795"/>
      <c r="G286" s="817"/>
      <c r="H286" s="797"/>
      <c r="I286" s="798"/>
      <c r="J286" s="798"/>
      <c r="K286" s="804"/>
      <c r="L286" s="800"/>
      <c r="M286" s="1061"/>
      <c r="N286" s="800"/>
      <c r="O286" s="841"/>
      <c r="P286" s="800"/>
      <c r="Q286" s="1068"/>
    </row>
    <row r="287" spans="2:17" ht="15.6" outlineLevel="2">
      <c r="B287" s="793"/>
      <c r="C287" s="848"/>
      <c r="D287" s="794">
        <v>1</v>
      </c>
      <c r="E287" s="845" t="s">
        <v>416</v>
      </c>
      <c r="F287" s="795"/>
      <c r="G287" s="817"/>
      <c r="H287" s="797">
        <f>RAB!H285</f>
        <v>9</v>
      </c>
      <c r="I287" s="797" t="str">
        <f>RAB!I285</f>
        <v>Unit</v>
      </c>
      <c r="J287" s="797" t="str">
        <f>RAB!J285</f>
        <v>A.5.1.1.19.</v>
      </c>
      <c r="K287" s="804" t="str">
        <f>VLOOKUP(J287,RKPANL!B:D,2,0)</f>
        <v>Pemasangan 1 buah kran diameter ½” atau ¾ ”</v>
      </c>
      <c r="L287" s="800">
        <f>VLOOKUP(J287,RKPANL!B:D,3,0)</f>
        <v>141881.25</v>
      </c>
      <c r="M287" s="1061">
        <f>L287*H287</f>
        <v>1276931.25</v>
      </c>
      <c r="N287" s="800"/>
      <c r="O287" s="1127">
        <v>0.98880000000000001</v>
      </c>
      <c r="P287" s="800">
        <f>M287*O287</f>
        <v>1262629.6200000001</v>
      </c>
      <c r="Q287" s="1068">
        <f>M287-P287</f>
        <v>14301.629999999888</v>
      </c>
    </row>
    <row r="288" spans="2:17" ht="15.6" outlineLevel="2">
      <c r="B288" s="793"/>
      <c r="C288" s="848"/>
      <c r="D288" s="794">
        <v>2</v>
      </c>
      <c r="E288" s="845" t="s">
        <v>517</v>
      </c>
      <c r="F288" s="795"/>
      <c r="G288" s="817"/>
      <c r="H288" s="797">
        <f>RAB!H286</f>
        <v>9</v>
      </c>
      <c r="I288" s="797" t="str">
        <f>RAB!I286</f>
        <v>Unit</v>
      </c>
      <c r="J288" s="797" t="str">
        <f>RAB!J286</f>
        <v>A.5.1.1.15.</v>
      </c>
      <c r="K288" s="804" t="str">
        <f>VLOOKUP(J288,RKPANL!B:D,2,0)</f>
        <v>Pemasangan 1 buah Push Kran Urinoir</v>
      </c>
      <c r="L288" s="800">
        <f>VLOOKUP(J288,RKPANL!B:D,3,0)</f>
        <v>311448.75</v>
      </c>
      <c r="M288" s="1061">
        <f>L288*H288</f>
        <v>2803038.75</v>
      </c>
      <c r="N288" s="800"/>
      <c r="O288" s="1127">
        <v>0.98880000000000001</v>
      </c>
      <c r="P288" s="800">
        <f>M288*O288</f>
        <v>2771644.716</v>
      </c>
      <c r="Q288" s="1068">
        <f>M288-P288</f>
        <v>31394.033999999985</v>
      </c>
    </row>
    <row r="289" spans="2:17" ht="15.6" outlineLevel="2">
      <c r="B289" s="793"/>
      <c r="C289" s="848"/>
      <c r="D289" s="794">
        <v>3</v>
      </c>
      <c r="E289" s="846" t="s">
        <v>418</v>
      </c>
      <c r="F289" s="795"/>
      <c r="G289" s="817"/>
      <c r="H289" s="797">
        <f>RAB!H287</f>
        <v>9</v>
      </c>
      <c r="I289" s="797" t="str">
        <f>RAB!I287</f>
        <v>Unit</v>
      </c>
      <c r="J289" s="797" t="str">
        <f>RAB!J287</f>
        <v>A.5.1.1.14.</v>
      </c>
      <c r="K289" s="804" t="str">
        <f>VLOOKUP(J289,RKPANL!B:D,2,0)</f>
        <v>Pemasangan 1 buah floor drain</v>
      </c>
      <c r="L289" s="800">
        <f>VLOOKUP(J289,RKPANL!B:D,3,0)</f>
        <v>161028.75</v>
      </c>
      <c r="M289" s="1061">
        <f>L289*H289</f>
        <v>1449258.75</v>
      </c>
      <c r="N289" s="800"/>
      <c r="O289" s="1127">
        <v>0.60099999999999998</v>
      </c>
      <c r="P289" s="800">
        <f>M289*O289</f>
        <v>871004.50874999992</v>
      </c>
      <c r="Q289" s="1068">
        <f>M289-P289</f>
        <v>578254.24125000008</v>
      </c>
    </row>
    <row r="290" spans="2:17" ht="15.6" outlineLevel="2">
      <c r="B290" s="851"/>
      <c r="C290" s="848"/>
      <c r="D290" s="794"/>
      <c r="E290" s="794"/>
      <c r="F290" s="795"/>
      <c r="G290" s="817"/>
      <c r="H290" s="797"/>
      <c r="I290" s="852"/>
      <c r="J290" s="798"/>
      <c r="K290" s="804"/>
      <c r="L290" s="800"/>
      <c r="M290" s="1061"/>
      <c r="N290" s="800"/>
      <c r="O290" s="841"/>
      <c r="P290" s="800"/>
      <c r="Q290" s="1068"/>
    </row>
    <row r="291" spans="2:17" ht="15.6" outlineLevel="2">
      <c r="B291" s="793"/>
      <c r="C291" s="848" t="s">
        <v>19</v>
      </c>
      <c r="D291" s="696" t="s">
        <v>634</v>
      </c>
      <c r="E291" s="849"/>
      <c r="F291" s="795"/>
      <c r="G291" s="817"/>
      <c r="H291" s="797"/>
      <c r="I291" s="798"/>
      <c r="J291" s="798"/>
      <c r="K291" s="804"/>
      <c r="L291" s="800"/>
      <c r="M291" s="1061"/>
      <c r="N291" s="800"/>
      <c r="O291" s="841"/>
      <c r="P291" s="800"/>
      <c r="Q291" s="1068"/>
    </row>
    <row r="292" spans="2:17" ht="15.6" outlineLevel="2">
      <c r="B292" s="793"/>
      <c r="C292" s="848"/>
      <c r="D292" s="794">
        <v>1</v>
      </c>
      <c r="E292" s="846" t="s">
        <v>628</v>
      </c>
      <c r="F292" s="795"/>
      <c r="G292" s="817"/>
      <c r="H292" s="797">
        <f>RAB!H290</f>
        <v>30</v>
      </c>
      <c r="I292" s="797" t="str">
        <f>RAB!I290</f>
        <v>M'</v>
      </c>
      <c r="J292" s="797" t="str">
        <f>RAB!J290</f>
        <v>A.5.1.1 25.</v>
      </c>
      <c r="K292" s="804" t="str">
        <f>VLOOKUP(J292,RKPANL!B:D,2,0)</f>
        <v>Pemasangan 1 m’ pipa PVC tipe AW diameter ½ ”</v>
      </c>
      <c r="L292" s="800">
        <f>VLOOKUP(J292,RKPANL!B:D,3,0)</f>
        <v>41465.166666666672</v>
      </c>
      <c r="M292" s="1061">
        <f t="shared" ref="M292:M297" si="26">L292*H292</f>
        <v>1243955.0000000002</v>
      </c>
      <c r="N292" s="800"/>
      <c r="O292" s="1127">
        <v>0.72660000000000002</v>
      </c>
      <c r="P292" s="800">
        <f t="shared" ref="P292:P297" si="27">M292*O292</f>
        <v>903857.70300000021</v>
      </c>
      <c r="Q292" s="1068">
        <f t="shared" ref="Q292:Q297" si="28">M292-P292</f>
        <v>340097.29700000002</v>
      </c>
    </row>
    <row r="293" spans="2:17" ht="15.6" outlineLevel="2">
      <c r="B293" s="793"/>
      <c r="C293" s="848"/>
      <c r="D293" s="794">
        <v>2</v>
      </c>
      <c r="E293" s="846" t="s">
        <v>629</v>
      </c>
      <c r="F293" s="795"/>
      <c r="G293" s="817"/>
      <c r="H293" s="797">
        <f>RAB!H291</f>
        <v>24</v>
      </c>
      <c r="I293" s="797" t="str">
        <f>RAB!I291</f>
        <v>M'</v>
      </c>
      <c r="J293" s="797" t="str">
        <f>RAB!J291</f>
        <v>A.5.1.1 26.</v>
      </c>
      <c r="K293" s="804" t="str">
        <f>VLOOKUP(J293,RKPANL!B:D,2,0)</f>
        <v>Pemasangan 1 m’ pipa PVC tipe AW diameter 3/4 ”</v>
      </c>
      <c r="L293" s="800">
        <f>VLOOKUP(J293,RKPANL!B:D,3,0)</f>
        <v>32552.666666666664</v>
      </c>
      <c r="M293" s="1061">
        <f t="shared" si="26"/>
        <v>781264</v>
      </c>
      <c r="N293" s="800"/>
      <c r="O293" s="1127">
        <v>0.72660000000000002</v>
      </c>
      <c r="P293" s="800">
        <f t="shared" si="27"/>
        <v>567666.42240000004</v>
      </c>
      <c r="Q293" s="1068">
        <f t="shared" si="28"/>
        <v>213597.57759999996</v>
      </c>
    </row>
    <row r="294" spans="2:17" ht="15.6" outlineLevel="2">
      <c r="B294" s="793"/>
      <c r="C294" s="848"/>
      <c r="D294" s="794">
        <v>3</v>
      </c>
      <c r="E294" s="846" t="s">
        <v>630</v>
      </c>
      <c r="F294" s="795"/>
      <c r="G294" s="817"/>
      <c r="H294" s="797">
        <f>RAB!H292</f>
        <v>24</v>
      </c>
      <c r="I294" s="797" t="str">
        <f>RAB!I292</f>
        <v>M'</v>
      </c>
      <c r="J294" s="797" t="str">
        <f>RAB!J292</f>
        <v>A.5.1.1 27.</v>
      </c>
      <c r="K294" s="804" t="str">
        <f>VLOOKUP(J294,RKPANL!B:D,2,0)</f>
        <v>Pemasangan 1 m’ pipa PVC tipe AW diameter 1”</v>
      </c>
      <c r="L294" s="800">
        <f>VLOOKUP(J294,RKPANL!B:D,3,0)</f>
        <v>44372.75</v>
      </c>
      <c r="M294" s="1061">
        <f t="shared" si="26"/>
        <v>1064946</v>
      </c>
      <c r="N294" s="800"/>
      <c r="O294" s="1127">
        <v>0.72660000000000002</v>
      </c>
      <c r="P294" s="800">
        <f t="shared" si="27"/>
        <v>773789.76360000006</v>
      </c>
      <c r="Q294" s="1068">
        <f t="shared" si="28"/>
        <v>291156.23639999994</v>
      </c>
    </row>
    <row r="295" spans="2:17" ht="15.6" outlineLevel="2">
      <c r="B295" s="793"/>
      <c r="C295" s="848"/>
      <c r="D295" s="794">
        <v>4</v>
      </c>
      <c r="E295" s="846" t="s">
        <v>631</v>
      </c>
      <c r="F295" s="795"/>
      <c r="G295" s="817"/>
      <c r="H295" s="797">
        <f>RAB!H293</f>
        <v>24</v>
      </c>
      <c r="I295" s="797" t="str">
        <f>RAB!I293</f>
        <v>M'</v>
      </c>
      <c r="J295" s="797" t="str">
        <f>RAB!J293</f>
        <v>A.5.1.1 28.</v>
      </c>
      <c r="K295" s="804" t="str">
        <f>VLOOKUP(J295,RKPANL!B:D,2,0)</f>
        <v>Pemasangan 1 m’ pipa PVC tipe AW diameter 1 ½ ”</v>
      </c>
      <c r="L295" s="800">
        <f>VLOOKUP(J295,RKPANL!B:D,3,0)</f>
        <v>50314.416666666672</v>
      </c>
      <c r="M295" s="1061">
        <f t="shared" si="26"/>
        <v>1207546</v>
      </c>
      <c r="N295" s="800"/>
      <c r="O295" s="1127">
        <v>0.72660000000000002</v>
      </c>
      <c r="P295" s="800">
        <f t="shared" si="27"/>
        <v>877402.92359999998</v>
      </c>
      <c r="Q295" s="1068">
        <f t="shared" si="28"/>
        <v>330143.07640000002</v>
      </c>
    </row>
    <row r="296" spans="2:17" ht="15.6" outlineLevel="2">
      <c r="B296" s="793"/>
      <c r="C296" s="848"/>
      <c r="D296" s="794">
        <v>5</v>
      </c>
      <c r="E296" s="846" t="s">
        <v>632</v>
      </c>
      <c r="F296" s="795"/>
      <c r="G296" s="817"/>
      <c r="H296" s="797">
        <f>RAB!H294</f>
        <v>12</v>
      </c>
      <c r="I296" s="797" t="str">
        <f>RAB!I294</f>
        <v>M'</v>
      </c>
      <c r="J296" s="797" t="str">
        <f>RAB!J294</f>
        <v>A.5.1.1 29.</v>
      </c>
      <c r="K296" s="804" t="str">
        <f>VLOOKUP(J296,RKPANL!B:D,2,0)</f>
        <v>Pemasangan 1 m’ pipa PVC tipe AW diameter 2”</v>
      </c>
      <c r="L296" s="800">
        <f>VLOOKUP(J296,RKPANL!B:D,3,0)</f>
        <v>71110.25</v>
      </c>
      <c r="M296" s="1061">
        <f t="shared" si="26"/>
        <v>853323</v>
      </c>
      <c r="N296" s="800"/>
      <c r="O296" s="1127">
        <v>0.72660000000000002</v>
      </c>
      <c r="P296" s="800">
        <f t="shared" si="27"/>
        <v>620024.49180000008</v>
      </c>
      <c r="Q296" s="1068">
        <f t="shared" si="28"/>
        <v>233298.50819999992</v>
      </c>
    </row>
    <row r="297" spans="2:17" ht="15.6" outlineLevel="2">
      <c r="B297" s="793"/>
      <c r="C297" s="848"/>
      <c r="D297" s="794">
        <v>6</v>
      </c>
      <c r="E297" s="846" t="s">
        <v>633</v>
      </c>
      <c r="F297" s="795"/>
      <c r="G297" s="817"/>
      <c r="H297" s="797">
        <f>RAB!H295</f>
        <v>12</v>
      </c>
      <c r="I297" s="797" t="str">
        <f>RAB!I295</f>
        <v>M'</v>
      </c>
      <c r="J297" s="797" t="str">
        <f>RAB!J295</f>
        <v>A.5.1.1 31.</v>
      </c>
      <c r="K297" s="804" t="str">
        <f>VLOOKUP(J297,RKPANL!B:D,2,0)</f>
        <v>Pemasangan 1 m’ pipa PVC tipe AW diameter 3”</v>
      </c>
      <c r="L297" s="800">
        <f>VLOOKUP(J297,RKPANL!B:D,3,0)</f>
        <v>100818.58333333333</v>
      </c>
      <c r="M297" s="1061">
        <f t="shared" si="26"/>
        <v>1209823</v>
      </c>
      <c r="N297" s="800"/>
      <c r="O297" s="1127">
        <v>0.72660000000000002</v>
      </c>
      <c r="P297" s="800">
        <f t="shared" si="27"/>
        <v>879057.39179999998</v>
      </c>
      <c r="Q297" s="1068">
        <f t="shared" si="28"/>
        <v>330765.60820000002</v>
      </c>
    </row>
    <row r="298" spans="2:17" ht="15.6" outlineLevel="2">
      <c r="B298" s="851"/>
      <c r="C298" s="848"/>
      <c r="D298" s="794"/>
      <c r="E298" s="794"/>
      <c r="F298" s="795"/>
      <c r="G298" s="817"/>
      <c r="H298" s="797"/>
      <c r="I298" s="852"/>
      <c r="J298" s="798"/>
      <c r="K298" s="804"/>
      <c r="L298" s="800"/>
      <c r="M298" s="1061"/>
      <c r="N298" s="800"/>
      <c r="O298" s="1127"/>
      <c r="P298" s="800"/>
      <c r="Q298" s="1068"/>
    </row>
    <row r="299" spans="2:17" ht="15.6" outlineLevel="2">
      <c r="B299" s="793"/>
      <c r="C299" s="848" t="s">
        <v>404</v>
      </c>
      <c r="D299" s="696" t="s">
        <v>419</v>
      </c>
      <c r="E299" s="849"/>
      <c r="F299" s="795"/>
      <c r="G299" s="817"/>
      <c r="H299" s="797"/>
      <c r="I299" s="798"/>
      <c r="J299" s="798"/>
      <c r="K299" s="804"/>
      <c r="L299" s="800"/>
      <c r="M299" s="1061"/>
      <c r="N299" s="800"/>
      <c r="O299" s="841"/>
      <c r="P299" s="800"/>
      <c r="Q299" s="1068"/>
    </row>
    <row r="300" spans="2:17" ht="15.6" outlineLevel="2">
      <c r="B300" s="793"/>
      <c r="C300" s="848"/>
      <c r="D300" s="794">
        <v>1</v>
      </c>
      <c r="E300" s="846" t="s">
        <v>907</v>
      </c>
      <c r="F300" s="795"/>
      <c r="G300" s="817"/>
      <c r="H300" s="797">
        <f>RAB!H298</f>
        <v>2</v>
      </c>
      <c r="I300" s="797" t="str">
        <f>RAB!I298</f>
        <v>Unit</v>
      </c>
      <c r="J300" s="797" t="str">
        <f>RAB!J298</f>
        <v>A.4.6.2.2</v>
      </c>
      <c r="K300" s="804" t="str">
        <f>VLOOKUP(J300,RKPANL!B:D,2,0)</f>
        <v>Memasang 1 bh kunci tanam</v>
      </c>
      <c r="L300" s="800">
        <f>VLOOKUP(J300,RKPANL!B:D,3,0)</f>
        <v>305698.75</v>
      </c>
      <c r="M300" s="1061">
        <f>L300*H300</f>
        <v>611397.5</v>
      </c>
      <c r="N300" s="800"/>
      <c r="O300" s="1127">
        <v>1</v>
      </c>
      <c r="P300" s="800">
        <f>M300*O300</f>
        <v>611397.5</v>
      </c>
      <c r="Q300" s="1068">
        <f>M300-P300</f>
        <v>0</v>
      </c>
    </row>
    <row r="301" spans="2:17" ht="15.6" outlineLevel="2">
      <c r="B301" s="793"/>
      <c r="C301" s="848"/>
      <c r="D301" s="794">
        <v>2</v>
      </c>
      <c r="E301" s="846" t="s">
        <v>908</v>
      </c>
      <c r="F301" s="795"/>
      <c r="G301" s="817"/>
      <c r="H301" s="797">
        <f>RAB!H299</f>
        <v>9</v>
      </c>
      <c r="I301" s="797" t="str">
        <f>RAB!I299</f>
        <v>Unit</v>
      </c>
      <c r="J301" s="797" t="str">
        <f>RAB!J299</f>
        <v>Hit. PT.02</v>
      </c>
      <c r="K301" s="804" t="str">
        <f>VLOOKUP(J301,RKPANL!B:D,2,0)</f>
        <v>Memasang 1 bh Pintu Aluminium Uk. 70x200 cm</v>
      </c>
      <c r="L301" s="800">
        <f>VLOOKUP(J301,RKPANL!B:D,3,0)</f>
        <v>1414068.75</v>
      </c>
      <c r="M301" s="1061">
        <f>L301*H301</f>
        <v>12726618.75</v>
      </c>
      <c r="N301" s="800"/>
      <c r="O301" s="1127">
        <v>0.87609999999999999</v>
      </c>
      <c r="P301" s="800">
        <f>M301*O301</f>
        <v>11149790.686875001</v>
      </c>
      <c r="Q301" s="1068">
        <f>M301-P301</f>
        <v>1576828.0631249994</v>
      </c>
    </row>
    <row r="302" spans="2:17" ht="15.6" outlineLevel="2">
      <c r="B302" s="793"/>
      <c r="C302" s="848"/>
      <c r="D302" s="794"/>
      <c r="E302" s="795"/>
      <c r="F302" s="795"/>
      <c r="G302" s="796"/>
      <c r="H302" s="797"/>
      <c r="I302" s="798"/>
      <c r="J302" s="798"/>
      <c r="K302" s="841"/>
      <c r="L302" s="800"/>
      <c r="M302" s="1061"/>
      <c r="N302" s="800"/>
      <c r="O302" s="841"/>
      <c r="P302" s="800"/>
      <c r="Q302" s="1068"/>
    </row>
    <row r="303" spans="2:17" ht="15.6" outlineLevel="2">
      <c r="B303" s="793"/>
      <c r="C303" s="848" t="s">
        <v>560</v>
      </c>
      <c r="D303" s="696" t="s">
        <v>422</v>
      </c>
      <c r="E303" s="849"/>
      <c r="F303" s="795"/>
      <c r="G303" s="817"/>
      <c r="H303" s="797"/>
      <c r="I303" s="798"/>
      <c r="J303" s="798"/>
      <c r="K303" s="804"/>
      <c r="L303" s="800"/>
      <c r="M303" s="1061"/>
      <c r="N303" s="800"/>
      <c r="O303" s="841"/>
      <c r="P303" s="800"/>
      <c r="Q303" s="1068"/>
    </row>
    <row r="304" spans="2:17" ht="15.6" outlineLevel="2">
      <c r="B304" s="793"/>
      <c r="C304" s="802"/>
      <c r="D304" s="850">
        <v>1</v>
      </c>
      <c r="E304" s="845" t="s">
        <v>919</v>
      </c>
      <c r="F304" s="795"/>
      <c r="G304" s="817"/>
      <c r="H304" s="797">
        <f>RAB!H302</f>
        <v>82.07</v>
      </c>
      <c r="I304" s="797" t="str">
        <f>RAB!I302</f>
        <v>M2</v>
      </c>
      <c r="J304" s="797" t="str">
        <f>RAB!J302</f>
        <v>A.4.7.1.11.</v>
      </c>
      <c r="K304" s="804" t="str">
        <f>VLOOKUP(J304,RKPANL!B:D,2,0)</f>
        <v>Pengecatan 1 m2 Tembok Lama (1 Lapis Cat Dasar, 2 Lapis Cat 
Penutup) 
lapis cat penutup)</v>
      </c>
      <c r="L304" s="800">
        <f>VLOOKUP(J304,RKPANL!B:D,3,0)</f>
        <v>43204.35</v>
      </c>
      <c r="M304" s="1061">
        <f>L304*H304</f>
        <v>3545781.0044999998</v>
      </c>
      <c r="N304" s="800"/>
      <c r="O304" s="1127">
        <v>0.70269999999999999</v>
      </c>
      <c r="P304" s="800">
        <f>M304*O304</f>
        <v>2491620.3118621497</v>
      </c>
      <c r="Q304" s="1068">
        <f>M304-P304</f>
        <v>1054160.6926378501</v>
      </c>
    </row>
    <row r="305" spans="2:17" outlineLevel="2">
      <c r="B305" s="793"/>
      <c r="C305" s="802"/>
      <c r="D305" s="794"/>
      <c r="E305" s="795"/>
      <c r="F305" s="795"/>
      <c r="G305" s="796"/>
      <c r="H305" s="797"/>
      <c r="I305" s="798"/>
      <c r="J305" s="798"/>
      <c r="K305" s="841"/>
      <c r="L305" s="800"/>
      <c r="M305" s="1061"/>
      <c r="N305" s="800"/>
      <c r="O305" s="1127"/>
      <c r="P305" s="800"/>
      <c r="Q305" s="1068"/>
    </row>
    <row r="306" spans="2:17" ht="15.6" outlineLevel="1">
      <c r="B306" s="1093"/>
      <c r="C306" s="1094"/>
      <c r="D306" s="1094"/>
      <c r="E306" s="1094"/>
      <c r="F306" s="1094"/>
      <c r="G306" s="1094"/>
      <c r="H306" s="1095"/>
      <c r="I306" s="1094"/>
      <c r="J306" s="1094"/>
      <c r="K306" s="1095"/>
      <c r="L306" s="1099"/>
      <c r="M306" s="1100" t="s">
        <v>834</v>
      </c>
      <c r="N306" s="1096">
        <f>SUM(M274:M304)</f>
        <v>73654931.004500002</v>
      </c>
      <c r="O306" s="1123"/>
      <c r="P306" s="1096">
        <f t="shared" ref="P306:Q306" si="29">SUM(P274:P305)</f>
        <v>68443981.565937147</v>
      </c>
      <c r="Q306" s="1101">
        <f t="shared" si="29"/>
        <v>5210949.4385628495</v>
      </c>
    </row>
    <row r="307" spans="2:17" ht="15.6" outlineLevel="1">
      <c r="B307" s="880"/>
      <c r="C307" s="1187" t="s">
        <v>817</v>
      </c>
      <c r="D307" s="696" t="s">
        <v>370</v>
      </c>
      <c r="E307" s="875"/>
      <c r="F307" s="795"/>
      <c r="G307" s="796"/>
      <c r="H307" s="797"/>
      <c r="I307" s="798"/>
      <c r="J307" s="798"/>
      <c r="K307" s="895"/>
      <c r="L307" s="877"/>
      <c r="M307" s="1060"/>
      <c r="N307" s="877"/>
      <c r="O307" s="895"/>
      <c r="P307" s="877"/>
      <c r="Q307" s="1067"/>
    </row>
    <row r="308" spans="2:17" ht="15.6" outlineLevel="2">
      <c r="B308" s="793"/>
      <c r="C308" s="848" t="s">
        <v>2</v>
      </c>
      <c r="D308" s="696" t="s">
        <v>349</v>
      </c>
      <c r="E308" s="849"/>
      <c r="F308" s="795"/>
      <c r="G308" s="796"/>
      <c r="H308" s="797"/>
      <c r="I308" s="798"/>
      <c r="J308" s="798"/>
      <c r="K308" s="804"/>
      <c r="L308" s="800"/>
      <c r="M308" s="1061"/>
      <c r="N308" s="800"/>
      <c r="O308" s="841"/>
      <c r="P308" s="800"/>
      <c r="Q308" s="1068"/>
    </row>
    <row r="309" spans="2:17" ht="15.6" outlineLevel="2">
      <c r="B309" s="793"/>
      <c r="C309" s="848"/>
      <c r="D309" s="794">
        <v>1</v>
      </c>
      <c r="E309" s="795" t="s">
        <v>899</v>
      </c>
      <c r="F309" s="795"/>
      <c r="G309" s="796"/>
      <c r="H309" s="797">
        <f>RAB!H307</f>
        <v>1</v>
      </c>
      <c r="I309" s="797" t="str">
        <f>RAB!I307</f>
        <v>Ls</v>
      </c>
      <c r="J309" s="797" t="str">
        <f>RAB!J307</f>
        <v>Taksir</v>
      </c>
      <c r="K309" s="804" t="e">
        <f>VLOOKUP(J309,RKPANL!B:D,2,0)</f>
        <v>#N/A</v>
      </c>
      <c r="L309" s="800">
        <f>RAB!L307</f>
        <v>2000000</v>
      </c>
      <c r="M309" s="1061">
        <f>L309*H309</f>
        <v>2000000</v>
      </c>
      <c r="N309" s="800"/>
      <c r="O309" s="1127">
        <v>1</v>
      </c>
      <c r="P309" s="800">
        <f>M309*O309</f>
        <v>2000000</v>
      </c>
      <c r="Q309" s="1068">
        <f>M309-P309</f>
        <v>0</v>
      </c>
    </row>
    <row r="310" spans="2:17" ht="15.6" outlineLevel="2">
      <c r="B310" s="793"/>
      <c r="C310" s="848"/>
      <c r="D310" s="794">
        <v>2</v>
      </c>
      <c r="E310" s="795" t="s">
        <v>415</v>
      </c>
      <c r="F310" s="795"/>
      <c r="G310" s="796"/>
      <c r="H310" s="797">
        <f>RAB!H308</f>
        <v>1</v>
      </c>
      <c r="I310" s="797" t="str">
        <f>RAB!I308</f>
        <v>Ls</v>
      </c>
      <c r="J310" s="797" t="str">
        <f>RAB!J308</f>
        <v>Taksir</v>
      </c>
      <c r="K310" s="804" t="e">
        <f>VLOOKUP(J310,RKPANL!B:D,2,0)</f>
        <v>#N/A</v>
      </c>
      <c r="L310" s="800">
        <f>RAB!L308</f>
        <v>1500000</v>
      </c>
      <c r="M310" s="1061">
        <f>L310*H310</f>
        <v>1500000</v>
      </c>
      <c r="N310" s="800"/>
      <c r="O310" s="1127">
        <v>1</v>
      </c>
      <c r="P310" s="800">
        <f>M310*O310</f>
        <v>1500000</v>
      </c>
      <c r="Q310" s="1068">
        <f>M310-P310</f>
        <v>0</v>
      </c>
    </row>
    <row r="311" spans="2:17" ht="15.6" outlineLevel="2">
      <c r="B311" s="793"/>
      <c r="C311" s="848"/>
      <c r="D311" s="794"/>
      <c r="E311" s="812"/>
      <c r="F311" s="795"/>
      <c r="G311" s="796"/>
      <c r="H311" s="797"/>
      <c r="I311" s="798"/>
      <c r="J311" s="798"/>
      <c r="K311" s="804"/>
      <c r="L311" s="800"/>
      <c r="M311" s="1061"/>
      <c r="N311" s="800"/>
      <c r="O311" s="1128"/>
      <c r="P311" s="800"/>
      <c r="Q311" s="1068"/>
    </row>
    <row r="312" spans="2:17" ht="15.6" outlineLevel="2">
      <c r="B312" s="793"/>
      <c r="C312" s="848" t="s">
        <v>16</v>
      </c>
      <c r="D312" s="696" t="s">
        <v>400</v>
      </c>
      <c r="E312" s="849"/>
      <c r="F312" s="795"/>
      <c r="G312" s="796"/>
      <c r="H312" s="797"/>
      <c r="I312" s="798"/>
      <c r="J312" s="798"/>
      <c r="K312" s="804"/>
      <c r="L312" s="800"/>
      <c r="M312" s="1061"/>
      <c r="N312" s="800"/>
      <c r="O312" s="841"/>
      <c r="P312" s="800"/>
      <c r="Q312" s="1068"/>
    </row>
    <row r="313" spans="2:17" ht="15.6" outlineLevel="2">
      <c r="B313" s="793"/>
      <c r="C313" s="848"/>
      <c r="D313" s="794">
        <v>1</v>
      </c>
      <c r="E313" s="795" t="s">
        <v>890</v>
      </c>
      <c r="F313" s="795"/>
      <c r="G313" s="796"/>
      <c r="H313" s="797">
        <f>RAB!H311</f>
        <v>60.45</v>
      </c>
      <c r="I313" s="797" t="str">
        <f>RAB!I311</f>
        <v>M2</v>
      </c>
      <c r="J313" s="797" t="str">
        <f>RAB!J311</f>
        <v>A.4.4.3.35.</v>
      </c>
      <c r="K313" s="804" t="str">
        <f>VLOOKUP(J313,RKPANL!B:D,2,0)</f>
        <v>Pemasangan 1m2 lantai keramik ukuran 40cm x 40cm</v>
      </c>
      <c r="L313" s="800">
        <f>VLOOKUP(J313,RKPANL!B:D,3,0)</f>
        <v>309005</v>
      </c>
      <c r="M313" s="1061">
        <f>L313*H313</f>
        <v>18679352.25</v>
      </c>
      <c r="N313" s="800"/>
      <c r="O313" s="1127">
        <v>1</v>
      </c>
      <c r="P313" s="800">
        <f>M313*O313</f>
        <v>18679352.25</v>
      </c>
      <c r="Q313" s="1068">
        <f>M313-P313</f>
        <v>0</v>
      </c>
    </row>
    <row r="314" spans="2:17" ht="15.6" outlineLevel="2">
      <c r="B314" s="793"/>
      <c r="C314" s="848"/>
      <c r="D314" s="794">
        <v>2</v>
      </c>
      <c r="E314" s="795" t="s">
        <v>421</v>
      </c>
      <c r="F314" s="795"/>
      <c r="G314" s="796"/>
      <c r="H314" s="797">
        <f>RAB!H312</f>
        <v>15</v>
      </c>
      <c r="I314" s="797" t="str">
        <f>RAB!I312</f>
        <v>M2</v>
      </c>
      <c r="J314" s="797" t="str">
        <f>RAB!J312</f>
        <v>A.4.4.3.36.</v>
      </c>
      <c r="K314" s="804" t="str">
        <f>VLOOKUP(J314,RKPANL!B:D,2,0)</f>
        <v>Pemasangan 1 m2 dinding keramik uk 20 cm x 40 cm</v>
      </c>
      <c r="L314" s="800">
        <f>VLOOKUP(J314,RKPANL!B:D,3,0)</f>
        <v>371622.5</v>
      </c>
      <c r="M314" s="1061">
        <f>L314*H314</f>
        <v>5574337.5</v>
      </c>
      <c r="N314" s="800"/>
      <c r="O314" s="1127">
        <v>1</v>
      </c>
      <c r="P314" s="800">
        <f>M314*O314</f>
        <v>5574337.5</v>
      </c>
      <c r="Q314" s="1068">
        <f>M314-P314</f>
        <v>0</v>
      </c>
    </row>
    <row r="315" spans="2:17" ht="15.6" outlineLevel="2">
      <c r="B315" s="793"/>
      <c r="C315" s="848"/>
      <c r="D315" s="794">
        <v>3</v>
      </c>
      <c r="E315" s="795" t="s">
        <v>481</v>
      </c>
      <c r="F315" s="795"/>
      <c r="G315" s="796"/>
      <c r="H315" s="797">
        <f>RAB!H313</f>
        <v>60.45</v>
      </c>
      <c r="I315" s="797" t="str">
        <f>RAB!I313</f>
        <v>M2</v>
      </c>
      <c r="J315" s="797" t="str">
        <f>RAB!J313</f>
        <v>Anl. WP-1</v>
      </c>
      <c r="K315" s="804" t="str">
        <f>VLOOKUP(J315,RKPANL!B:D,2,0)</f>
        <v>Pemasangan 1 m2 waterproofing onducoat PA 
campuran 1SP :4PP</v>
      </c>
      <c r="L315" s="800">
        <f>VLOOKUP(J315,RKPANL!B:D,3,0)</f>
        <v>172097.5</v>
      </c>
      <c r="M315" s="1061">
        <f>L315*H315</f>
        <v>10403293.875</v>
      </c>
      <c r="N315" s="800"/>
      <c r="O315" s="1127">
        <v>1</v>
      </c>
      <c r="P315" s="800">
        <f>M315*O315</f>
        <v>10403293.875</v>
      </c>
      <c r="Q315" s="1068">
        <f>M315-P315</f>
        <v>0</v>
      </c>
    </row>
    <row r="316" spans="2:17" ht="15.6" outlineLevel="2">
      <c r="B316" s="793"/>
      <c r="C316" s="848"/>
      <c r="D316" s="794"/>
      <c r="E316" s="795"/>
      <c r="F316" s="795"/>
      <c r="G316" s="796"/>
      <c r="H316" s="797"/>
      <c r="I316" s="798"/>
      <c r="J316" s="798"/>
      <c r="K316" s="804"/>
      <c r="L316" s="800"/>
      <c r="M316" s="1061"/>
      <c r="N316" s="800"/>
      <c r="O316" s="841"/>
      <c r="P316" s="800"/>
      <c r="Q316" s="1068"/>
    </row>
    <row r="317" spans="2:17" ht="15.6" outlineLevel="2">
      <c r="B317" s="793"/>
      <c r="C317" s="848" t="s">
        <v>17</v>
      </c>
      <c r="D317" s="696" t="s">
        <v>353</v>
      </c>
      <c r="E317" s="849"/>
      <c r="F317" s="795"/>
      <c r="G317" s="796"/>
      <c r="H317" s="797"/>
      <c r="I317" s="798"/>
      <c r="J317" s="798"/>
      <c r="K317" s="804"/>
      <c r="L317" s="800"/>
      <c r="M317" s="1061"/>
      <c r="N317" s="800"/>
      <c r="O317" s="841"/>
      <c r="P317" s="800"/>
      <c r="Q317" s="1068"/>
    </row>
    <row r="318" spans="2:17" ht="15.6" outlineLevel="2">
      <c r="B318" s="793"/>
      <c r="C318" s="848"/>
      <c r="D318" s="850">
        <v>1</v>
      </c>
      <c r="E318" s="845" t="s">
        <v>900</v>
      </c>
      <c r="F318" s="795"/>
      <c r="G318" s="796"/>
      <c r="H318" s="797">
        <f>RAB!H316</f>
        <v>19</v>
      </c>
      <c r="I318" s="797" t="str">
        <f>RAB!I316</f>
        <v>Titik</v>
      </c>
      <c r="J318" s="797" t="str">
        <f>RAB!J316</f>
        <v>Hit. EL.1</v>
      </c>
      <c r="K318" s="804" t="str">
        <f>VLOOKUP(J318,RKPANL!B:D,2,0)</f>
        <v>Pasang 1 Titik Instalasi Penerangan dan Stop Kontak dengan Kabel NYA 2x2,5 mm</v>
      </c>
      <c r="L318" s="800">
        <f>VLOOKUP(J318,RKPANL!B:D,3,0)</f>
        <v>232084.375</v>
      </c>
      <c r="M318" s="1061">
        <f>L318*H318</f>
        <v>4409603.125</v>
      </c>
      <c r="N318" s="800"/>
      <c r="O318" s="1127">
        <v>0.95079999999999998</v>
      </c>
      <c r="P318" s="800">
        <f>M318*O318</f>
        <v>4192650.6512500001</v>
      </c>
      <c r="Q318" s="1068">
        <f>M318-P318</f>
        <v>216952.47374999989</v>
      </c>
    </row>
    <row r="319" spans="2:17" ht="15.6" outlineLevel="2">
      <c r="B319" s="793"/>
      <c r="C319" s="848"/>
      <c r="D319" s="850">
        <v>2</v>
      </c>
      <c r="E319" s="845" t="s">
        <v>842</v>
      </c>
      <c r="F319" s="795"/>
      <c r="G319" s="796"/>
      <c r="H319" s="797">
        <f>RAB!H317</f>
        <v>19</v>
      </c>
      <c r="I319" s="797" t="str">
        <f>RAB!I317</f>
        <v>Unit</v>
      </c>
      <c r="J319" s="797" t="str">
        <f>RAB!J317</f>
        <v>Hit. EL.7</v>
      </c>
      <c r="K319" s="804" t="str">
        <f>VLOOKUP(J319,RKPANL!B:D,2,0)</f>
        <v>Pasang 1 buah Lampu LED 7 watt + Fitting Down Light</v>
      </c>
      <c r="L319" s="800">
        <f>VLOOKUP(J319,RKPANL!B:D,3,0)</f>
        <v>121813.75</v>
      </c>
      <c r="M319" s="1061">
        <f>L319*H319</f>
        <v>2314461.25</v>
      </c>
      <c r="N319" s="800"/>
      <c r="O319" s="1127">
        <v>1</v>
      </c>
      <c r="P319" s="800">
        <f>M319*O319</f>
        <v>2314461.25</v>
      </c>
      <c r="Q319" s="1068">
        <f>M319-P319</f>
        <v>0</v>
      </c>
    </row>
    <row r="320" spans="2:17" ht="15.6" outlineLevel="2">
      <c r="B320" s="793"/>
      <c r="C320" s="848"/>
      <c r="D320" s="794"/>
      <c r="E320" s="795"/>
      <c r="F320" s="795"/>
      <c r="G320" s="796"/>
      <c r="H320" s="797"/>
      <c r="I320" s="798"/>
      <c r="J320" s="798"/>
      <c r="K320" s="804"/>
      <c r="L320" s="800"/>
      <c r="M320" s="1061"/>
      <c r="N320" s="800"/>
      <c r="O320" s="841"/>
      <c r="P320" s="800"/>
      <c r="Q320" s="1068"/>
    </row>
    <row r="321" spans="2:17" ht="15.6" outlineLevel="2">
      <c r="B321" s="793"/>
      <c r="C321" s="848" t="s">
        <v>18</v>
      </c>
      <c r="D321" s="696" t="s">
        <v>467</v>
      </c>
      <c r="E321" s="849"/>
      <c r="F321" s="795"/>
      <c r="G321" s="817"/>
      <c r="H321" s="797"/>
      <c r="I321" s="798"/>
      <c r="J321" s="798"/>
      <c r="K321" s="804"/>
      <c r="L321" s="800"/>
      <c r="M321" s="1061"/>
      <c r="N321" s="800"/>
      <c r="O321" s="841"/>
      <c r="P321" s="800"/>
      <c r="Q321" s="1068"/>
    </row>
    <row r="322" spans="2:17" ht="15.6" outlineLevel="2">
      <c r="B322" s="793"/>
      <c r="C322" s="848"/>
      <c r="D322" s="794">
        <v>1</v>
      </c>
      <c r="E322" s="845" t="s">
        <v>416</v>
      </c>
      <c r="F322" s="795"/>
      <c r="G322" s="817"/>
      <c r="H322" s="797">
        <f>RAB!H320</f>
        <v>9</v>
      </c>
      <c r="I322" s="797" t="str">
        <f>RAB!I320</f>
        <v>Unit</v>
      </c>
      <c r="J322" s="797" t="str">
        <f>RAB!J320</f>
        <v>A.5.1.1.19.</v>
      </c>
      <c r="K322" s="804" t="str">
        <f>VLOOKUP(J322,RKPANL!B:D,2,0)</f>
        <v>Pemasangan 1 buah kran diameter ½” atau ¾ ”</v>
      </c>
      <c r="L322" s="800">
        <f>VLOOKUP(J322,RKPANL!B:D,3,0)</f>
        <v>141881.25</v>
      </c>
      <c r="M322" s="1061">
        <f>L322*H322</f>
        <v>1276931.25</v>
      </c>
      <c r="N322" s="800"/>
      <c r="O322" s="1127">
        <v>0.98880000000000001</v>
      </c>
      <c r="P322" s="800">
        <f>M322*O322</f>
        <v>1262629.6200000001</v>
      </c>
      <c r="Q322" s="1068">
        <f>M322-P322</f>
        <v>14301.629999999888</v>
      </c>
    </row>
    <row r="323" spans="2:17" ht="15.6" outlineLevel="2">
      <c r="B323" s="793"/>
      <c r="C323" s="848"/>
      <c r="D323" s="794">
        <v>2</v>
      </c>
      <c r="E323" s="845" t="s">
        <v>517</v>
      </c>
      <c r="F323" s="795"/>
      <c r="G323" s="817"/>
      <c r="H323" s="797">
        <f>RAB!H321</f>
        <v>9</v>
      </c>
      <c r="I323" s="797" t="str">
        <f>RAB!I321</f>
        <v>Unit</v>
      </c>
      <c r="J323" s="797" t="str">
        <f>RAB!J321</f>
        <v>A.5.1.1.15.</v>
      </c>
      <c r="K323" s="804" t="str">
        <f>VLOOKUP(J323,RKPANL!B:D,2,0)</f>
        <v>Pemasangan 1 buah Push Kran Urinoir</v>
      </c>
      <c r="L323" s="800">
        <f>VLOOKUP(J323,RKPANL!B:D,3,0)</f>
        <v>311448.75</v>
      </c>
      <c r="M323" s="1061">
        <f>L323*H323</f>
        <v>2803038.75</v>
      </c>
      <c r="N323" s="800"/>
      <c r="O323" s="1127">
        <v>0.98880000000000001</v>
      </c>
      <c r="P323" s="800">
        <f>M323*O323</f>
        <v>2771644.716</v>
      </c>
      <c r="Q323" s="1068">
        <f>M323-P323</f>
        <v>31394.033999999985</v>
      </c>
    </row>
    <row r="324" spans="2:17" ht="15.6" outlineLevel="2">
      <c r="B324" s="793"/>
      <c r="C324" s="848"/>
      <c r="D324" s="794">
        <v>3</v>
      </c>
      <c r="E324" s="846" t="s">
        <v>418</v>
      </c>
      <c r="F324" s="795"/>
      <c r="G324" s="817"/>
      <c r="H324" s="797">
        <f>RAB!H322</f>
        <v>9</v>
      </c>
      <c r="I324" s="797" t="str">
        <f>RAB!I322</f>
        <v>Unit</v>
      </c>
      <c r="J324" s="797" t="str">
        <f>RAB!J322</f>
        <v>A.5.1.1.14.</v>
      </c>
      <c r="K324" s="804" t="str">
        <f>VLOOKUP(J324,RKPANL!B:D,2,0)</f>
        <v>Pemasangan 1 buah floor drain</v>
      </c>
      <c r="L324" s="800">
        <f>VLOOKUP(J324,RKPANL!B:D,3,0)</f>
        <v>161028.75</v>
      </c>
      <c r="M324" s="1061">
        <f>L324*H324</f>
        <v>1449258.75</v>
      </c>
      <c r="N324" s="800"/>
      <c r="O324" s="1127">
        <v>0.60099999999999998</v>
      </c>
      <c r="P324" s="800">
        <f>M324*O324</f>
        <v>871004.50874999992</v>
      </c>
      <c r="Q324" s="1068">
        <f>M324-P324</f>
        <v>578254.24125000008</v>
      </c>
    </row>
    <row r="325" spans="2:17" ht="15.6" outlineLevel="2">
      <c r="B325" s="851"/>
      <c r="C325" s="848"/>
      <c r="D325" s="794"/>
      <c r="E325" s="794"/>
      <c r="F325" s="795"/>
      <c r="G325" s="817"/>
      <c r="H325" s="797"/>
      <c r="I325" s="852"/>
      <c r="J325" s="798"/>
      <c r="K325" s="804"/>
      <c r="L325" s="800"/>
      <c r="M325" s="1061"/>
      <c r="N325" s="800"/>
      <c r="O325" s="841"/>
      <c r="P325" s="800"/>
      <c r="Q325" s="1068"/>
    </row>
    <row r="326" spans="2:17" ht="15.6" outlineLevel="2">
      <c r="B326" s="793"/>
      <c r="C326" s="848" t="s">
        <v>19</v>
      </c>
      <c r="D326" s="696" t="s">
        <v>634</v>
      </c>
      <c r="E326" s="849"/>
      <c r="F326" s="795"/>
      <c r="G326" s="817"/>
      <c r="H326" s="797"/>
      <c r="I326" s="798"/>
      <c r="J326" s="798"/>
      <c r="K326" s="804"/>
      <c r="L326" s="800"/>
      <c r="M326" s="1061"/>
      <c r="N326" s="800"/>
      <c r="O326" s="841"/>
      <c r="P326" s="800"/>
      <c r="Q326" s="1068"/>
    </row>
    <row r="327" spans="2:17" ht="15.6" outlineLevel="2">
      <c r="B327" s="793"/>
      <c r="C327" s="848"/>
      <c r="D327" s="794">
        <v>1</v>
      </c>
      <c r="E327" s="846" t="s">
        <v>628</v>
      </c>
      <c r="F327" s="795"/>
      <c r="G327" s="817"/>
      <c r="H327" s="797">
        <f>RAB!H325</f>
        <v>30</v>
      </c>
      <c r="I327" s="797" t="str">
        <f>RAB!I325</f>
        <v>M'</v>
      </c>
      <c r="J327" s="797" t="str">
        <f>RAB!J325</f>
        <v>A.5.1.1 25.</v>
      </c>
      <c r="K327" s="804" t="str">
        <f>VLOOKUP(J327,RKPANL!B:D,2,0)</f>
        <v>Pemasangan 1 m’ pipa PVC tipe AW diameter ½ ”</v>
      </c>
      <c r="L327" s="800">
        <f>VLOOKUP(J327,RKPANL!B:D,3,0)</f>
        <v>41465.166666666672</v>
      </c>
      <c r="M327" s="1061">
        <f t="shared" ref="M327:M332" si="30">L327*H327</f>
        <v>1243955.0000000002</v>
      </c>
      <c r="N327" s="800"/>
      <c r="O327" s="1127">
        <v>0.72660000000000002</v>
      </c>
      <c r="P327" s="800">
        <f t="shared" ref="P327:P332" si="31">M327*O327</f>
        <v>903857.70300000021</v>
      </c>
      <c r="Q327" s="1068">
        <f t="shared" ref="Q327:Q332" si="32">M327-P327</f>
        <v>340097.29700000002</v>
      </c>
    </row>
    <row r="328" spans="2:17" ht="15.6" outlineLevel="2">
      <c r="B328" s="793"/>
      <c r="C328" s="848"/>
      <c r="D328" s="794">
        <v>2</v>
      </c>
      <c r="E328" s="846" t="s">
        <v>629</v>
      </c>
      <c r="F328" s="795"/>
      <c r="G328" s="817"/>
      <c r="H328" s="797">
        <f>RAB!H326</f>
        <v>24</v>
      </c>
      <c r="I328" s="797" t="str">
        <f>RAB!I326</f>
        <v>M'</v>
      </c>
      <c r="J328" s="797" t="str">
        <f>RAB!J326</f>
        <v>A.5.1.1 26.</v>
      </c>
      <c r="K328" s="804" t="str">
        <f>VLOOKUP(J328,RKPANL!B:D,2,0)</f>
        <v>Pemasangan 1 m’ pipa PVC tipe AW diameter 3/4 ”</v>
      </c>
      <c r="L328" s="800">
        <f>VLOOKUP(J328,RKPANL!B:D,3,0)</f>
        <v>32552.666666666664</v>
      </c>
      <c r="M328" s="1061">
        <f t="shared" si="30"/>
        <v>781264</v>
      </c>
      <c r="N328" s="800"/>
      <c r="O328" s="1127">
        <v>0.72660000000000002</v>
      </c>
      <c r="P328" s="800">
        <f t="shared" si="31"/>
        <v>567666.42240000004</v>
      </c>
      <c r="Q328" s="1068">
        <f t="shared" si="32"/>
        <v>213597.57759999996</v>
      </c>
    </row>
    <row r="329" spans="2:17" ht="15.6" outlineLevel="2">
      <c r="B329" s="793"/>
      <c r="C329" s="848"/>
      <c r="D329" s="794">
        <v>3</v>
      </c>
      <c r="E329" s="846" t="s">
        <v>630</v>
      </c>
      <c r="F329" s="795"/>
      <c r="G329" s="817"/>
      <c r="H329" s="797">
        <f>RAB!H327</f>
        <v>24</v>
      </c>
      <c r="I329" s="797" t="str">
        <f>RAB!I327</f>
        <v>M'</v>
      </c>
      <c r="J329" s="797" t="str">
        <f>RAB!J327</f>
        <v>A.5.1.1 27.</v>
      </c>
      <c r="K329" s="804" t="str">
        <f>VLOOKUP(J329,RKPANL!B:D,2,0)</f>
        <v>Pemasangan 1 m’ pipa PVC tipe AW diameter 1”</v>
      </c>
      <c r="L329" s="800">
        <f>VLOOKUP(J329,RKPANL!B:D,3,0)</f>
        <v>44372.75</v>
      </c>
      <c r="M329" s="1061">
        <f t="shared" si="30"/>
        <v>1064946</v>
      </c>
      <c r="N329" s="800"/>
      <c r="O329" s="1127">
        <v>0.72660000000000002</v>
      </c>
      <c r="P329" s="800">
        <f t="shared" si="31"/>
        <v>773789.76360000006</v>
      </c>
      <c r="Q329" s="1068">
        <f t="shared" si="32"/>
        <v>291156.23639999994</v>
      </c>
    </row>
    <row r="330" spans="2:17" ht="15.6" outlineLevel="2">
      <c r="B330" s="793"/>
      <c r="C330" s="848"/>
      <c r="D330" s="794">
        <v>4</v>
      </c>
      <c r="E330" s="846" t="s">
        <v>631</v>
      </c>
      <c r="F330" s="795"/>
      <c r="G330" s="817"/>
      <c r="H330" s="797">
        <f>RAB!H328</f>
        <v>24</v>
      </c>
      <c r="I330" s="797" t="str">
        <f>RAB!I328</f>
        <v>M'</v>
      </c>
      <c r="J330" s="797" t="str">
        <f>RAB!J328</f>
        <v>A.5.1.1 28.</v>
      </c>
      <c r="K330" s="804" t="str">
        <f>VLOOKUP(J330,RKPANL!B:D,2,0)</f>
        <v>Pemasangan 1 m’ pipa PVC tipe AW diameter 1 ½ ”</v>
      </c>
      <c r="L330" s="800">
        <f>VLOOKUP(J330,RKPANL!B:D,3,0)</f>
        <v>50314.416666666672</v>
      </c>
      <c r="M330" s="1061">
        <f t="shared" si="30"/>
        <v>1207546</v>
      </c>
      <c r="N330" s="800"/>
      <c r="O330" s="1127">
        <v>0.72660000000000002</v>
      </c>
      <c r="P330" s="800">
        <f t="shared" si="31"/>
        <v>877402.92359999998</v>
      </c>
      <c r="Q330" s="1068">
        <f t="shared" si="32"/>
        <v>330143.07640000002</v>
      </c>
    </row>
    <row r="331" spans="2:17" ht="15.6" outlineLevel="2">
      <c r="B331" s="793"/>
      <c r="C331" s="848"/>
      <c r="D331" s="794">
        <v>5</v>
      </c>
      <c r="E331" s="846" t="s">
        <v>632</v>
      </c>
      <c r="F331" s="795"/>
      <c r="G331" s="817"/>
      <c r="H331" s="797">
        <f>RAB!H329</f>
        <v>12</v>
      </c>
      <c r="I331" s="797" t="str">
        <f>RAB!I329</f>
        <v>M'</v>
      </c>
      <c r="J331" s="797" t="str">
        <f>RAB!J329</f>
        <v>A.5.1.1 29.</v>
      </c>
      <c r="K331" s="804" t="str">
        <f>VLOOKUP(J331,RKPANL!B:D,2,0)</f>
        <v>Pemasangan 1 m’ pipa PVC tipe AW diameter 2”</v>
      </c>
      <c r="L331" s="800">
        <f>VLOOKUP(J331,RKPANL!B:D,3,0)</f>
        <v>71110.25</v>
      </c>
      <c r="M331" s="1061">
        <f t="shared" si="30"/>
        <v>853323</v>
      </c>
      <c r="N331" s="800"/>
      <c r="O331" s="1127">
        <v>0.72660000000000002</v>
      </c>
      <c r="P331" s="800">
        <f t="shared" si="31"/>
        <v>620024.49180000008</v>
      </c>
      <c r="Q331" s="1068">
        <f t="shared" si="32"/>
        <v>233298.50819999992</v>
      </c>
    </row>
    <row r="332" spans="2:17" ht="15.6" outlineLevel="2">
      <c r="B332" s="793"/>
      <c r="C332" s="848"/>
      <c r="D332" s="794">
        <v>6</v>
      </c>
      <c r="E332" s="846" t="s">
        <v>633</v>
      </c>
      <c r="F332" s="795"/>
      <c r="G332" s="817"/>
      <c r="H332" s="797">
        <f>RAB!H330</f>
        <v>12</v>
      </c>
      <c r="I332" s="797" t="str">
        <f>RAB!I330</f>
        <v>M'</v>
      </c>
      <c r="J332" s="797" t="str">
        <f>RAB!J330</f>
        <v>A.5.1.1 31.</v>
      </c>
      <c r="K332" s="804" t="str">
        <f>VLOOKUP(J332,RKPANL!B:D,2,0)</f>
        <v>Pemasangan 1 m’ pipa PVC tipe AW diameter 3”</v>
      </c>
      <c r="L332" s="800">
        <f>VLOOKUP(J332,RKPANL!B:D,3,0)</f>
        <v>100818.58333333333</v>
      </c>
      <c r="M332" s="1061">
        <f t="shared" si="30"/>
        <v>1209823</v>
      </c>
      <c r="N332" s="800"/>
      <c r="O332" s="1127">
        <v>0.72660000000000002</v>
      </c>
      <c r="P332" s="800">
        <f t="shared" si="31"/>
        <v>879057.39179999998</v>
      </c>
      <c r="Q332" s="1068">
        <f t="shared" si="32"/>
        <v>330765.60820000002</v>
      </c>
    </row>
    <row r="333" spans="2:17" ht="15.6" outlineLevel="2">
      <c r="B333" s="851"/>
      <c r="C333" s="848"/>
      <c r="D333" s="794"/>
      <c r="E333" s="794"/>
      <c r="F333" s="795"/>
      <c r="G333" s="817"/>
      <c r="H333" s="797"/>
      <c r="I333" s="852"/>
      <c r="J333" s="798"/>
      <c r="K333" s="804"/>
      <c r="L333" s="800"/>
      <c r="M333" s="1061"/>
      <c r="N333" s="800"/>
      <c r="O333" s="1127"/>
      <c r="P333" s="800"/>
      <c r="Q333" s="1068"/>
    </row>
    <row r="334" spans="2:17" ht="15.6" outlineLevel="2">
      <c r="B334" s="793"/>
      <c r="C334" s="848" t="s">
        <v>404</v>
      </c>
      <c r="D334" s="696" t="s">
        <v>419</v>
      </c>
      <c r="E334" s="849"/>
      <c r="F334" s="795"/>
      <c r="G334" s="817"/>
      <c r="H334" s="797"/>
      <c r="I334" s="798"/>
      <c r="J334" s="798"/>
      <c r="K334" s="804"/>
      <c r="L334" s="800"/>
      <c r="M334" s="1061"/>
      <c r="N334" s="800"/>
      <c r="O334" s="841"/>
      <c r="P334" s="800"/>
      <c r="Q334" s="1068"/>
    </row>
    <row r="335" spans="2:17" ht="15.6" outlineLevel="2">
      <c r="B335" s="793"/>
      <c r="C335" s="848"/>
      <c r="D335" s="794">
        <v>1</v>
      </c>
      <c r="E335" s="846" t="s">
        <v>907</v>
      </c>
      <c r="F335" s="795"/>
      <c r="G335" s="817"/>
      <c r="H335" s="797">
        <f>RAB!H333</f>
        <v>2</v>
      </c>
      <c r="I335" s="797" t="str">
        <f>RAB!I333</f>
        <v>Unit</v>
      </c>
      <c r="J335" s="797" t="str">
        <f>RAB!J333</f>
        <v>A.4.6.2.2</v>
      </c>
      <c r="K335" s="804" t="str">
        <f>VLOOKUP(J335,RKPANL!B:D,2,0)</f>
        <v>Memasang 1 bh kunci tanam</v>
      </c>
      <c r="L335" s="800">
        <f>VLOOKUP(J335,RKPANL!B:D,3,0)</f>
        <v>305698.75</v>
      </c>
      <c r="M335" s="1061">
        <f>L335*H335</f>
        <v>611397.5</v>
      </c>
      <c r="N335" s="800"/>
      <c r="O335" s="1127">
        <v>1</v>
      </c>
      <c r="P335" s="800">
        <f>M335*O335</f>
        <v>611397.5</v>
      </c>
      <c r="Q335" s="1068">
        <f>M335-P335</f>
        <v>0</v>
      </c>
    </row>
    <row r="336" spans="2:17" ht="15.6" outlineLevel="2">
      <c r="B336" s="793"/>
      <c r="C336" s="848"/>
      <c r="D336" s="794">
        <v>2</v>
      </c>
      <c r="E336" s="846" t="s">
        <v>908</v>
      </c>
      <c r="F336" s="795"/>
      <c r="G336" s="817"/>
      <c r="H336" s="797">
        <f>RAB!H334</f>
        <v>9</v>
      </c>
      <c r="I336" s="797" t="str">
        <f>RAB!I334</f>
        <v>Unit</v>
      </c>
      <c r="J336" s="797" t="str">
        <f>RAB!J334</f>
        <v>Hit. PT.02</v>
      </c>
      <c r="K336" s="804" t="str">
        <f>VLOOKUP(J336,RKPANL!B:D,2,0)</f>
        <v>Memasang 1 bh Pintu Aluminium Uk. 70x200 cm</v>
      </c>
      <c r="L336" s="800">
        <f>VLOOKUP(J336,RKPANL!B:D,3,0)</f>
        <v>1414068.75</v>
      </c>
      <c r="M336" s="1061">
        <f>L336*H336</f>
        <v>12726618.75</v>
      </c>
      <c r="N336" s="800"/>
      <c r="O336" s="1127">
        <v>0.87609999999999999</v>
      </c>
      <c r="P336" s="800">
        <f>M336*O336</f>
        <v>11149790.686875001</v>
      </c>
      <c r="Q336" s="1068">
        <f>M336-P336</f>
        <v>1576828.0631249994</v>
      </c>
    </row>
    <row r="337" spans="2:17" ht="15.6" outlineLevel="2">
      <c r="B337" s="793"/>
      <c r="C337" s="848"/>
      <c r="D337" s="794"/>
      <c r="E337" s="795"/>
      <c r="F337" s="795"/>
      <c r="G337" s="796"/>
      <c r="H337" s="797"/>
      <c r="I337" s="798"/>
      <c r="J337" s="798"/>
      <c r="K337" s="841"/>
      <c r="L337" s="800"/>
      <c r="M337" s="1061"/>
      <c r="N337" s="800"/>
      <c r="O337" s="841"/>
      <c r="P337" s="800"/>
      <c r="Q337" s="1068"/>
    </row>
    <row r="338" spans="2:17" ht="15.6" outlineLevel="2">
      <c r="B338" s="793"/>
      <c r="C338" s="848" t="s">
        <v>560</v>
      </c>
      <c r="D338" s="696" t="s">
        <v>422</v>
      </c>
      <c r="E338" s="849"/>
      <c r="F338" s="795"/>
      <c r="G338" s="817"/>
      <c r="H338" s="797"/>
      <c r="I338" s="798"/>
      <c r="J338" s="798"/>
      <c r="K338" s="804"/>
      <c r="L338" s="800"/>
      <c r="M338" s="1061"/>
      <c r="N338" s="800"/>
      <c r="O338" s="841"/>
      <c r="P338" s="800"/>
      <c r="Q338" s="1068"/>
    </row>
    <row r="339" spans="2:17" ht="15.6" outlineLevel="2">
      <c r="B339" s="793"/>
      <c r="C339" s="802"/>
      <c r="D339" s="850">
        <v>1</v>
      </c>
      <c r="E339" s="845" t="s">
        <v>919</v>
      </c>
      <c r="F339" s="795"/>
      <c r="G339" s="817"/>
      <c r="H339" s="797">
        <f>RAB!H337</f>
        <v>82.07</v>
      </c>
      <c r="I339" s="797" t="str">
        <f>RAB!I337</f>
        <v>M2</v>
      </c>
      <c r="J339" s="797" t="str">
        <f>RAB!J337</f>
        <v>A.4.7.1.11.</v>
      </c>
      <c r="K339" s="804" t="str">
        <f>VLOOKUP(J339,RKPANL!B:D,2,0)</f>
        <v>Pengecatan 1 m2 Tembok Lama (1 Lapis Cat Dasar, 2 Lapis Cat 
Penutup) 
lapis cat penutup)</v>
      </c>
      <c r="L339" s="800">
        <f>VLOOKUP(J339,RKPANL!B:D,3,0)</f>
        <v>43204.35</v>
      </c>
      <c r="M339" s="1061">
        <f>L339*H339</f>
        <v>3545781.0044999998</v>
      </c>
      <c r="N339" s="800"/>
      <c r="O339" s="1127">
        <v>0.70269999999999999</v>
      </c>
      <c r="P339" s="800">
        <f>M339*O339</f>
        <v>2491620.3118621497</v>
      </c>
      <c r="Q339" s="1068">
        <f>M339-P339</f>
        <v>1054160.6926378501</v>
      </c>
    </row>
    <row r="340" spans="2:17" outlineLevel="2">
      <c r="B340" s="793"/>
      <c r="C340" s="802"/>
      <c r="D340" s="794"/>
      <c r="E340" s="795"/>
      <c r="F340" s="795"/>
      <c r="G340" s="796"/>
      <c r="H340" s="797"/>
      <c r="I340" s="798"/>
      <c r="J340" s="798"/>
      <c r="K340" s="841"/>
      <c r="L340" s="800"/>
      <c r="M340" s="1061"/>
      <c r="N340" s="800"/>
      <c r="O340" s="841"/>
      <c r="P340" s="800"/>
      <c r="Q340" s="1068"/>
    </row>
    <row r="341" spans="2:17" ht="15.6" outlineLevel="1">
      <c r="B341" s="1093"/>
      <c r="C341" s="1094"/>
      <c r="D341" s="1094"/>
      <c r="E341" s="1094"/>
      <c r="F341" s="1094"/>
      <c r="G341" s="1094"/>
      <c r="H341" s="1095"/>
      <c r="I341" s="1094"/>
      <c r="J341" s="1094"/>
      <c r="K341" s="1095"/>
      <c r="L341" s="1099"/>
      <c r="M341" s="1100" t="s">
        <v>835</v>
      </c>
      <c r="N341" s="1096">
        <f>SUM(M309:M339)</f>
        <v>73654931.004500002</v>
      </c>
      <c r="O341" s="1123"/>
      <c r="P341" s="1096">
        <f>SUM(P309:P340)</f>
        <v>68443981.565937147</v>
      </c>
      <c r="Q341" s="1101">
        <f>SUM(Q309:Q340)</f>
        <v>5210949.4385628495</v>
      </c>
    </row>
    <row r="342" spans="2:17" ht="15.6" outlineLevel="1">
      <c r="B342" s="880"/>
      <c r="C342" s="1187" t="s">
        <v>818</v>
      </c>
      <c r="D342" s="696" t="s">
        <v>371</v>
      </c>
      <c r="E342" s="875"/>
      <c r="F342" s="795"/>
      <c r="G342" s="796"/>
      <c r="H342" s="797"/>
      <c r="I342" s="798"/>
      <c r="J342" s="798"/>
      <c r="K342" s="895"/>
      <c r="L342" s="877"/>
      <c r="M342" s="1060"/>
      <c r="N342" s="877"/>
      <c r="O342" s="895"/>
      <c r="P342" s="877"/>
      <c r="Q342" s="1067"/>
    </row>
    <row r="343" spans="2:17" ht="15.6" outlineLevel="2">
      <c r="B343" s="793"/>
      <c r="C343" s="848" t="s">
        <v>2</v>
      </c>
      <c r="D343" s="696" t="s">
        <v>349</v>
      </c>
      <c r="E343" s="849"/>
      <c r="F343" s="795"/>
      <c r="G343" s="796"/>
      <c r="H343" s="797"/>
      <c r="I343" s="798"/>
      <c r="J343" s="798"/>
      <c r="K343" s="804"/>
      <c r="L343" s="800"/>
      <c r="M343" s="1061"/>
      <c r="N343" s="800"/>
      <c r="O343" s="841"/>
      <c r="P343" s="800"/>
      <c r="Q343" s="1068"/>
    </row>
    <row r="344" spans="2:17" ht="15.6" outlineLevel="2">
      <c r="B344" s="793"/>
      <c r="C344" s="848"/>
      <c r="D344" s="794">
        <v>1</v>
      </c>
      <c r="E344" s="795" t="s">
        <v>899</v>
      </c>
      <c r="F344" s="795"/>
      <c r="G344" s="796"/>
      <c r="H344" s="797">
        <f>RAB!H342</f>
        <v>1</v>
      </c>
      <c r="I344" s="797" t="str">
        <f>RAB!I342</f>
        <v>Ls</v>
      </c>
      <c r="J344" s="797" t="str">
        <f>RAB!J342</f>
        <v>Taksir</v>
      </c>
      <c r="K344" s="804" t="e">
        <f>VLOOKUP(J344,RKPANL!B:D,2,0)</f>
        <v>#N/A</v>
      </c>
      <c r="L344" s="800">
        <f>RAB!L342</f>
        <v>2000000</v>
      </c>
      <c r="M344" s="1061">
        <f>L344*H344</f>
        <v>2000000</v>
      </c>
      <c r="N344" s="800"/>
      <c r="O344" s="1127">
        <v>1</v>
      </c>
      <c r="P344" s="800">
        <f>M344*O344</f>
        <v>2000000</v>
      </c>
      <c r="Q344" s="1068">
        <f>M344-P344</f>
        <v>0</v>
      </c>
    </row>
    <row r="345" spans="2:17" ht="15.6" outlineLevel="2">
      <c r="B345" s="793"/>
      <c r="C345" s="848"/>
      <c r="D345" s="794">
        <v>2</v>
      </c>
      <c r="E345" s="795" t="s">
        <v>415</v>
      </c>
      <c r="F345" s="795"/>
      <c r="G345" s="796"/>
      <c r="H345" s="797">
        <f>RAB!H343</f>
        <v>1</v>
      </c>
      <c r="I345" s="797" t="str">
        <f>RAB!I343</f>
        <v>Ls</v>
      </c>
      <c r="J345" s="797" t="str">
        <f>RAB!J343</f>
        <v>Taksir</v>
      </c>
      <c r="K345" s="804" t="e">
        <f>VLOOKUP(J345,RKPANL!B:D,2,0)</f>
        <v>#N/A</v>
      </c>
      <c r="L345" s="800">
        <f>RAB!L343</f>
        <v>1500000</v>
      </c>
      <c r="M345" s="1061">
        <f>L345*H345</f>
        <v>1500000</v>
      </c>
      <c r="N345" s="800"/>
      <c r="O345" s="1127">
        <v>1</v>
      </c>
      <c r="P345" s="800">
        <f>M345*O345</f>
        <v>1500000</v>
      </c>
      <c r="Q345" s="1068">
        <f>M345-P345</f>
        <v>0</v>
      </c>
    </row>
    <row r="346" spans="2:17" ht="15.6" outlineLevel="2">
      <c r="B346" s="793"/>
      <c r="C346" s="848"/>
      <c r="D346" s="794"/>
      <c r="E346" s="812"/>
      <c r="F346" s="795"/>
      <c r="G346" s="796"/>
      <c r="H346" s="797"/>
      <c r="I346" s="798"/>
      <c r="J346" s="798"/>
      <c r="K346" s="804"/>
      <c r="L346" s="800"/>
      <c r="M346" s="1061"/>
      <c r="N346" s="800"/>
      <c r="O346" s="1128"/>
      <c r="P346" s="800"/>
      <c r="Q346" s="1068"/>
    </row>
    <row r="347" spans="2:17" ht="15.6" outlineLevel="2">
      <c r="B347" s="793"/>
      <c r="C347" s="848" t="s">
        <v>16</v>
      </c>
      <c r="D347" s="696" t="s">
        <v>400</v>
      </c>
      <c r="E347" s="849"/>
      <c r="F347" s="795"/>
      <c r="G347" s="796"/>
      <c r="H347" s="797"/>
      <c r="I347" s="798"/>
      <c r="J347" s="798"/>
      <c r="K347" s="804"/>
      <c r="L347" s="800"/>
      <c r="M347" s="1061"/>
      <c r="N347" s="800"/>
      <c r="O347" s="841"/>
      <c r="P347" s="800"/>
      <c r="Q347" s="1068"/>
    </row>
    <row r="348" spans="2:17" ht="15.6" outlineLevel="2">
      <c r="B348" s="793"/>
      <c r="C348" s="848"/>
      <c r="D348" s="794">
        <v>1</v>
      </c>
      <c r="E348" s="795" t="s">
        <v>890</v>
      </c>
      <c r="F348" s="795"/>
      <c r="G348" s="796"/>
      <c r="H348" s="797">
        <f>RAB!H346</f>
        <v>60.45</v>
      </c>
      <c r="I348" s="797" t="str">
        <f>RAB!I346</f>
        <v>M2</v>
      </c>
      <c r="J348" s="797" t="str">
        <f>RAB!J346</f>
        <v>A.4.4.3.35.</v>
      </c>
      <c r="K348" s="804" t="str">
        <f>VLOOKUP(J348,RKPANL!B:D,2,0)</f>
        <v>Pemasangan 1m2 lantai keramik ukuran 40cm x 40cm</v>
      </c>
      <c r="L348" s="800">
        <f>VLOOKUP(J348,RKPANL!B:D,3,0)</f>
        <v>309005</v>
      </c>
      <c r="M348" s="1061">
        <f>L348*H348</f>
        <v>18679352.25</v>
      </c>
      <c r="N348" s="800"/>
      <c r="O348" s="1127">
        <v>1</v>
      </c>
      <c r="P348" s="800">
        <f>M348*O348</f>
        <v>18679352.25</v>
      </c>
      <c r="Q348" s="1068">
        <f>M348-P348</f>
        <v>0</v>
      </c>
    </row>
    <row r="349" spans="2:17" ht="15.6" outlineLevel="2">
      <c r="B349" s="793"/>
      <c r="C349" s="848"/>
      <c r="D349" s="794">
        <v>2</v>
      </c>
      <c r="E349" s="795" t="s">
        <v>421</v>
      </c>
      <c r="F349" s="795"/>
      <c r="G349" s="796"/>
      <c r="H349" s="797">
        <f>RAB!H347</f>
        <v>15</v>
      </c>
      <c r="I349" s="797" t="str">
        <f>RAB!I347</f>
        <v>M2</v>
      </c>
      <c r="J349" s="797" t="str">
        <f>RAB!J347</f>
        <v>A.4.4.3.36.</v>
      </c>
      <c r="K349" s="804" t="str">
        <f>VLOOKUP(J349,RKPANL!B:D,2,0)</f>
        <v>Pemasangan 1 m2 dinding keramik uk 20 cm x 40 cm</v>
      </c>
      <c r="L349" s="800">
        <f>VLOOKUP(J349,RKPANL!B:D,3,0)</f>
        <v>371622.5</v>
      </c>
      <c r="M349" s="1061">
        <f>L349*H349</f>
        <v>5574337.5</v>
      </c>
      <c r="N349" s="800"/>
      <c r="O349" s="1127">
        <v>1</v>
      </c>
      <c r="P349" s="800">
        <f>M349*O349</f>
        <v>5574337.5</v>
      </c>
      <c r="Q349" s="1068">
        <f>M349-P349</f>
        <v>0</v>
      </c>
    </row>
    <row r="350" spans="2:17" ht="15.6" outlineLevel="2">
      <c r="B350" s="793"/>
      <c r="C350" s="848"/>
      <c r="D350" s="794">
        <v>3</v>
      </c>
      <c r="E350" s="795" t="s">
        <v>481</v>
      </c>
      <c r="F350" s="795"/>
      <c r="G350" s="796"/>
      <c r="H350" s="797">
        <f>RAB!H348</f>
        <v>60.45</v>
      </c>
      <c r="I350" s="797" t="str">
        <f>RAB!I348</f>
        <v>M2</v>
      </c>
      <c r="J350" s="797" t="str">
        <f>RAB!J348</f>
        <v>Anl. WP-1</v>
      </c>
      <c r="K350" s="804" t="str">
        <f>VLOOKUP(J350,RKPANL!B:D,2,0)</f>
        <v>Pemasangan 1 m2 waterproofing onducoat PA 
campuran 1SP :4PP</v>
      </c>
      <c r="L350" s="800">
        <f>VLOOKUP(J350,RKPANL!B:D,3,0)</f>
        <v>172097.5</v>
      </c>
      <c r="M350" s="1061">
        <f>L350*H350</f>
        <v>10403293.875</v>
      </c>
      <c r="N350" s="800"/>
      <c r="O350" s="1127">
        <v>0.70199999999999996</v>
      </c>
      <c r="P350" s="800">
        <f>M350*O350</f>
        <v>7303112.3002499994</v>
      </c>
      <c r="Q350" s="1068">
        <f>M350-P350</f>
        <v>3100181.5747500006</v>
      </c>
    </row>
    <row r="351" spans="2:17" ht="15.6" outlineLevel="2">
      <c r="B351" s="793"/>
      <c r="C351" s="848"/>
      <c r="D351" s="794"/>
      <c r="E351" s="795"/>
      <c r="F351" s="795"/>
      <c r="G351" s="796"/>
      <c r="H351" s="797"/>
      <c r="I351" s="798"/>
      <c r="J351" s="798"/>
      <c r="K351" s="804"/>
      <c r="L351" s="800"/>
      <c r="M351" s="1061"/>
      <c r="N351" s="800"/>
      <c r="O351" s="841"/>
      <c r="P351" s="800"/>
      <c r="Q351" s="1068"/>
    </row>
    <row r="352" spans="2:17" ht="15.6" outlineLevel="2">
      <c r="B352" s="793"/>
      <c r="C352" s="848" t="s">
        <v>17</v>
      </c>
      <c r="D352" s="696" t="s">
        <v>353</v>
      </c>
      <c r="E352" s="849"/>
      <c r="F352" s="795"/>
      <c r="G352" s="796"/>
      <c r="H352" s="797"/>
      <c r="I352" s="798"/>
      <c r="J352" s="798"/>
      <c r="K352" s="804"/>
      <c r="L352" s="800"/>
      <c r="M352" s="1061"/>
      <c r="N352" s="800"/>
      <c r="O352" s="841"/>
      <c r="P352" s="800"/>
      <c r="Q352" s="1068"/>
    </row>
    <row r="353" spans="2:17" ht="15.6" outlineLevel="2">
      <c r="B353" s="793"/>
      <c r="C353" s="848"/>
      <c r="D353" s="850">
        <v>1</v>
      </c>
      <c r="E353" s="845" t="s">
        <v>900</v>
      </c>
      <c r="F353" s="795"/>
      <c r="G353" s="796"/>
      <c r="H353" s="797">
        <f>RAB!H351</f>
        <v>19</v>
      </c>
      <c r="I353" s="797" t="str">
        <f>RAB!I351</f>
        <v>Titik</v>
      </c>
      <c r="J353" s="797" t="str">
        <f>RAB!J351</f>
        <v>Hit. EL.1</v>
      </c>
      <c r="K353" s="804" t="str">
        <f>VLOOKUP(J353,RKPANL!B:D,2,0)</f>
        <v>Pasang 1 Titik Instalasi Penerangan dan Stop Kontak dengan Kabel NYA 2x2,5 mm</v>
      </c>
      <c r="L353" s="800">
        <f>VLOOKUP(J353,RKPANL!B:D,3,0)</f>
        <v>232084.375</v>
      </c>
      <c r="M353" s="1061">
        <f>L353*H353</f>
        <v>4409603.125</v>
      </c>
      <c r="N353" s="800"/>
      <c r="O353" s="1127">
        <v>0.95079999999999998</v>
      </c>
      <c r="P353" s="800">
        <f>M353*O353</f>
        <v>4192650.6512500001</v>
      </c>
      <c r="Q353" s="1068">
        <f>M353-P353</f>
        <v>216952.47374999989</v>
      </c>
    </row>
    <row r="354" spans="2:17" ht="15.6" outlineLevel="2">
      <c r="B354" s="793"/>
      <c r="C354" s="848"/>
      <c r="D354" s="850">
        <v>2</v>
      </c>
      <c r="E354" s="845" t="s">
        <v>842</v>
      </c>
      <c r="F354" s="795"/>
      <c r="G354" s="796"/>
      <c r="H354" s="797">
        <f>RAB!H352</f>
        <v>19</v>
      </c>
      <c r="I354" s="797" t="str">
        <f>RAB!I352</f>
        <v>Unit</v>
      </c>
      <c r="J354" s="797" t="str">
        <f>RAB!J352</f>
        <v>Hit. EL.7</v>
      </c>
      <c r="K354" s="804" t="str">
        <f>VLOOKUP(J354,RKPANL!B:D,2,0)</f>
        <v>Pasang 1 buah Lampu LED 7 watt + Fitting Down Light</v>
      </c>
      <c r="L354" s="800">
        <f>VLOOKUP(J354,RKPANL!B:D,3,0)</f>
        <v>121813.75</v>
      </c>
      <c r="M354" s="1061">
        <f>L354*H354</f>
        <v>2314461.25</v>
      </c>
      <c r="N354" s="800"/>
      <c r="O354" s="1127">
        <v>1</v>
      </c>
      <c r="P354" s="800">
        <f>M354*O354</f>
        <v>2314461.25</v>
      </c>
      <c r="Q354" s="1068">
        <f>M354-P354</f>
        <v>0</v>
      </c>
    </row>
    <row r="355" spans="2:17" ht="15.6" outlineLevel="2">
      <c r="B355" s="793"/>
      <c r="C355" s="848"/>
      <c r="D355" s="794"/>
      <c r="E355" s="795"/>
      <c r="F355" s="795"/>
      <c r="G355" s="796"/>
      <c r="H355" s="797"/>
      <c r="I355" s="798"/>
      <c r="J355" s="798"/>
      <c r="K355" s="804"/>
      <c r="L355" s="800"/>
      <c r="M355" s="1061"/>
      <c r="N355" s="800"/>
      <c r="O355" s="841"/>
      <c r="P355" s="800"/>
      <c r="Q355" s="1068"/>
    </row>
    <row r="356" spans="2:17" ht="15.6" outlineLevel="2">
      <c r="B356" s="793"/>
      <c r="C356" s="848" t="s">
        <v>18</v>
      </c>
      <c r="D356" s="696" t="s">
        <v>467</v>
      </c>
      <c r="E356" s="849"/>
      <c r="F356" s="795"/>
      <c r="G356" s="817"/>
      <c r="H356" s="797"/>
      <c r="I356" s="798"/>
      <c r="J356" s="798"/>
      <c r="K356" s="804"/>
      <c r="L356" s="800"/>
      <c r="M356" s="1061"/>
      <c r="N356" s="800"/>
      <c r="O356" s="841"/>
      <c r="P356" s="800"/>
      <c r="Q356" s="1068"/>
    </row>
    <row r="357" spans="2:17" ht="15.6" outlineLevel="2">
      <c r="B357" s="793"/>
      <c r="C357" s="848"/>
      <c r="D357" s="794">
        <v>1</v>
      </c>
      <c r="E357" s="845" t="s">
        <v>416</v>
      </c>
      <c r="F357" s="795"/>
      <c r="G357" s="817"/>
      <c r="H357" s="797">
        <f>RAB!H355</f>
        <v>9</v>
      </c>
      <c r="I357" s="797" t="str">
        <f>RAB!I355</f>
        <v>Unit</v>
      </c>
      <c r="J357" s="797" t="str">
        <f>RAB!J355</f>
        <v>A.5.1.1.19.</v>
      </c>
      <c r="K357" s="804" t="str">
        <f>VLOOKUP(J357,RKPANL!B:D,2,0)</f>
        <v>Pemasangan 1 buah kran diameter ½” atau ¾ ”</v>
      </c>
      <c r="L357" s="800">
        <f>VLOOKUP(J357,RKPANL!B:D,3,0)</f>
        <v>141881.25</v>
      </c>
      <c r="M357" s="1061">
        <f>L357*H357</f>
        <v>1276931.25</v>
      </c>
      <c r="N357" s="800"/>
      <c r="O357" s="1127">
        <v>0.98880000000000001</v>
      </c>
      <c r="P357" s="800">
        <f>M357*O357</f>
        <v>1262629.6200000001</v>
      </c>
      <c r="Q357" s="1068">
        <f>M357-P357</f>
        <v>14301.629999999888</v>
      </c>
    </row>
    <row r="358" spans="2:17" ht="15.6" outlineLevel="2">
      <c r="B358" s="793"/>
      <c r="C358" s="848"/>
      <c r="D358" s="794">
        <v>2</v>
      </c>
      <c r="E358" s="845" t="s">
        <v>517</v>
      </c>
      <c r="F358" s="795"/>
      <c r="G358" s="817"/>
      <c r="H358" s="797">
        <f>RAB!H356</f>
        <v>9</v>
      </c>
      <c r="I358" s="797" t="str">
        <f>RAB!I356</f>
        <v>Unit</v>
      </c>
      <c r="J358" s="797" t="str">
        <f>RAB!J356</f>
        <v>A.5.1.1.15.</v>
      </c>
      <c r="K358" s="804" t="str">
        <f>VLOOKUP(J358,RKPANL!B:D,2,0)</f>
        <v>Pemasangan 1 buah Push Kran Urinoir</v>
      </c>
      <c r="L358" s="800">
        <f>VLOOKUP(J358,RKPANL!B:D,3,0)</f>
        <v>311448.75</v>
      </c>
      <c r="M358" s="1061">
        <f>L358*H358</f>
        <v>2803038.75</v>
      </c>
      <c r="N358" s="800"/>
      <c r="O358" s="1127">
        <v>0.98880000000000001</v>
      </c>
      <c r="P358" s="800">
        <f>M358*O358</f>
        <v>2771644.716</v>
      </c>
      <c r="Q358" s="1068">
        <f>M358-P358</f>
        <v>31394.033999999985</v>
      </c>
    </row>
    <row r="359" spans="2:17" ht="15.6" outlineLevel="2">
      <c r="B359" s="793"/>
      <c r="C359" s="848"/>
      <c r="D359" s="794">
        <v>3</v>
      </c>
      <c r="E359" s="846" t="s">
        <v>418</v>
      </c>
      <c r="F359" s="795"/>
      <c r="G359" s="817"/>
      <c r="H359" s="797">
        <f>RAB!H357</f>
        <v>9</v>
      </c>
      <c r="I359" s="797" t="str">
        <f>RAB!I357</f>
        <v>Unit</v>
      </c>
      <c r="J359" s="797" t="str">
        <f>RAB!J357</f>
        <v>A.5.1.1.14.</v>
      </c>
      <c r="K359" s="804" t="str">
        <f>VLOOKUP(J359,RKPANL!B:D,2,0)</f>
        <v>Pemasangan 1 buah floor drain</v>
      </c>
      <c r="L359" s="800">
        <f>VLOOKUP(J359,RKPANL!B:D,3,0)</f>
        <v>161028.75</v>
      </c>
      <c r="M359" s="1061">
        <f>L359*H359</f>
        <v>1449258.75</v>
      </c>
      <c r="N359" s="800"/>
      <c r="O359" s="1127">
        <v>0.60099999999999998</v>
      </c>
      <c r="P359" s="800">
        <f>M359*O359</f>
        <v>871004.50874999992</v>
      </c>
      <c r="Q359" s="1068">
        <f>M359-P359</f>
        <v>578254.24125000008</v>
      </c>
    </row>
    <row r="360" spans="2:17" ht="15.6" outlineLevel="2">
      <c r="B360" s="851"/>
      <c r="C360" s="848"/>
      <c r="D360" s="794"/>
      <c r="E360" s="794"/>
      <c r="F360" s="795"/>
      <c r="G360" s="817"/>
      <c r="H360" s="797"/>
      <c r="I360" s="852"/>
      <c r="J360" s="798"/>
      <c r="K360" s="804"/>
      <c r="L360" s="800"/>
      <c r="M360" s="1061"/>
      <c r="N360" s="800"/>
      <c r="O360" s="841"/>
      <c r="P360" s="800"/>
      <c r="Q360" s="1068"/>
    </row>
    <row r="361" spans="2:17" ht="15.6" outlineLevel="2">
      <c r="B361" s="793"/>
      <c r="C361" s="848" t="s">
        <v>19</v>
      </c>
      <c r="D361" s="696" t="s">
        <v>634</v>
      </c>
      <c r="E361" s="849"/>
      <c r="F361" s="795"/>
      <c r="G361" s="817"/>
      <c r="H361" s="797"/>
      <c r="I361" s="798"/>
      <c r="J361" s="798"/>
      <c r="K361" s="804"/>
      <c r="L361" s="800"/>
      <c r="M361" s="1061"/>
      <c r="N361" s="800"/>
      <c r="O361" s="841"/>
      <c r="P361" s="800"/>
      <c r="Q361" s="1068"/>
    </row>
    <row r="362" spans="2:17" ht="15.6" outlineLevel="2">
      <c r="B362" s="793"/>
      <c r="C362" s="848"/>
      <c r="D362" s="794">
        <v>1</v>
      </c>
      <c r="E362" s="846" t="s">
        <v>628</v>
      </c>
      <c r="F362" s="795"/>
      <c r="G362" s="817"/>
      <c r="H362" s="797">
        <f>RAB!H360</f>
        <v>30</v>
      </c>
      <c r="I362" s="797" t="str">
        <f>RAB!I360</f>
        <v>M'</v>
      </c>
      <c r="J362" s="797" t="str">
        <f>RAB!J360</f>
        <v>A.5.1.1 25.</v>
      </c>
      <c r="K362" s="804" t="str">
        <f>VLOOKUP(J362,RKPANL!B:D,2,0)</f>
        <v>Pemasangan 1 m’ pipa PVC tipe AW diameter ½ ”</v>
      </c>
      <c r="L362" s="800">
        <f>VLOOKUP(J362,RKPANL!B:D,3,0)</f>
        <v>41465.166666666672</v>
      </c>
      <c r="M362" s="1061">
        <f t="shared" ref="M362:M367" si="33">L362*H362</f>
        <v>1243955.0000000002</v>
      </c>
      <c r="N362" s="800"/>
      <c r="O362" s="1127">
        <v>0.72660000000000002</v>
      </c>
      <c r="P362" s="800">
        <f t="shared" ref="P362:P367" si="34">M362*O362</f>
        <v>903857.70300000021</v>
      </c>
      <c r="Q362" s="1068">
        <f t="shared" ref="Q362:Q367" si="35">M362-P362</f>
        <v>340097.29700000002</v>
      </c>
    </row>
    <row r="363" spans="2:17" ht="15.6" outlineLevel="2">
      <c r="B363" s="793"/>
      <c r="C363" s="848"/>
      <c r="D363" s="794">
        <v>2</v>
      </c>
      <c r="E363" s="846" t="s">
        <v>629</v>
      </c>
      <c r="F363" s="795"/>
      <c r="G363" s="817"/>
      <c r="H363" s="797">
        <f>RAB!H361</f>
        <v>24</v>
      </c>
      <c r="I363" s="797" t="str">
        <f>RAB!I361</f>
        <v>M'</v>
      </c>
      <c r="J363" s="797" t="str">
        <f>RAB!J361</f>
        <v>A.5.1.1 26.</v>
      </c>
      <c r="K363" s="804" t="str">
        <f>VLOOKUP(J363,RKPANL!B:D,2,0)</f>
        <v>Pemasangan 1 m’ pipa PVC tipe AW diameter 3/4 ”</v>
      </c>
      <c r="L363" s="800">
        <f>VLOOKUP(J363,RKPANL!B:D,3,0)</f>
        <v>32552.666666666664</v>
      </c>
      <c r="M363" s="1061">
        <f t="shared" si="33"/>
        <v>781264</v>
      </c>
      <c r="N363" s="800"/>
      <c r="O363" s="1127">
        <v>0.72660000000000002</v>
      </c>
      <c r="P363" s="800">
        <f t="shared" si="34"/>
        <v>567666.42240000004</v>
      </c>
      <c r="Q363" s="1068">
        <f t="shared" si="35"/>
        <v>213597.57759999996</v>
      </c>
    </row>
    <row r="364" spans="2:17" ht="15.6" outlineLevel="2">
      <c r="B364" s="793"/>
      <c r="C364" s="848"/>
      <c r="D364" s="794">
        <v>3</v>
      </c>
      <c r="E364" s="846" t="s">
        <v>630</v>
      </c>
      <c r="F364" s="795"/>
      <c r="G364" s="817"/>
      <c r="H364" s="797">
        <f>RAB!H362</f>
        <v>24</v>
      </c>
      <c r="I364" s="797" t="str">
        <f>RAB!I362</f>
        <v>M'</v>
      </c>
      <c r="J364" s="797" t="str">
        <f>RAB!J362</f>
        <v>A.5.1.1 27.</v>
      </c>
      <c r="K364" s="804" t="str">
        <f>VLOOKUP(J364,RKPANL!B:D,2,0)</f>
        <v>Pemasangan 1 m’ pipa PVC tipe AW diameter 1”</v>
      </c>
      <c r="L364" s="800">
        <f>VLOOKUP(J364,RKPANL!B:D,3,0)</f>
        <v>44372.75</v>
      </c>
      <c r="M364" s="1061">
        <f t="shared" si="33"/>
        <v>1064946</v>
      </c>
      <c r="N364" s="800"/>
      <c r="O364" s="1127">
        <v>0.72660000000000002</v>
      </c>
      <c r="P364" s="800">
        <f t="shared" si="34"/>
        <v>773789.76360000006</v>
      </c>
      <c r="Q364" s="1068">
        <f t="shared" si="35"/>
        <v>291156.23639999994</v>
      </c>
    </row>
    <row r="365" spans="2:17" ht="15.6" outlineLevel="2">
      <c r="B365" s="793"/>
      <c r="C365" s="848"/>
      <c r="D365" s="794">
        <v>4</v>
      </c>
      <c r="E365" s="846" t="s">
        <v>631</v>
      </c>
      <c r="F365" s="795"/>
      <c r="G365" s="817"/>
      <c r="H365" s="797">
        <f>RAB!H363</f>
        <v>24</v>
      </c>
      <c r="I365" s="797" t="str">
        <f>RAB!I363</f>
        <v>M'</v>
      </c>
      <c r="J365" s="797" t="str">
        <f>RAB!J363</f>
        <v>A.5.1.1 28.</v>
      </c>
      <c r="K365" s="804" t="str">
        <f>VLOOKUP(J365,RKPANL!B:D,2,0)</f>
        <v>Pemasangan 1 m’ pipa PVC tipe AW diameter 1 ½ ”</v>
      </c>
      <c r="L365" s="800">
        <f>VLOOKUP(J365,RKPANL!B:D,3,0)</f>
        <v>50314.416666666672</v>
      </c>
      <c r="M365" s="1061">
        <f t="shared" si="33"/>
        <v>1207546</v>
      </c>
      <c r="N365" s="800"/>
      <c r="O365" s="1127">
        <v>0.72660000000000002</v>
      </c>
      <c r="P365" s="800">
        <f t="shared" si="34"/>
        <v>877402.92359999998</v>
      </c>
      <c r="Q365" s="1068">
        <f t="shared" si="35"/>
        <v>330143.07640000002</v>
      </c>
    </row>
    <row r="366" spans="2:17" ht="15.6" outlineLevel="2">
      <c r="B366" s="793"/>
      <c r="C366" s="848"/>
      <c r="D366" s="794">
        <v>5</v>
      </c>
      <c r="E366" s="846" t="s">
        <v>632</v>
      </c>
      <c r="F366" s="795"/>
      <c r="G366" s="817"/>
      <c r="H366" s="797">
        <f>RAB!H364</f>
        <v>12</v>
      </c>
      <c r="I366" s="797" t="str">
        <f>RAB!I364</f>
        <v>M'</v>
      </c>
      <c r="J366" s="797" t="str">
        <f>RAB!J364</f>
        <v>A.5.1.1 29.</v>
      </c>
      <c r="K366" s="804" t="str">
        <f>VLOOKUP(J366,RKPANL!B:D,2,0)</f>
        <v>Pemasangan 1 m’ pipa PVC tipe AW diameter 2”</v>
      </c>
      <c r="L366" s="800">
        <f>VLOOKUP(J366,RKPANL!B:D,3,0)</f>
        <v>71110.25</v>
      </c>
      <c r="M366" s="1061">
        <f t="shared" si="33"/>
        <v>853323</v>
      </c>
      <c r="N366" s="800"/>
      <c r="O366" s="1127">
        <v>0.72660000000000002</v>
      </c>
      <c r="P366" s="800">
        <f t="shared" si="34"/>
        <v>620024.49180000008</v>
      </c>
      <c r="Q366" s="1068">
        <f t="shared" si="35"/>
        <v>233298.50819999992</v>
      </c>
    </row>
    <row r="367" spans="2:17" ht="15.6" outlineLevel="2">
      <c r="B367" s="793"/>
      <c r="C367" s="848"/>
      <c r="D367" s="794">
        <v>6</v>
      </c>
      <c r="E367" s="846" t="s">
        <v>633</v>
      </c>
      <c r="F367" s="795"/>
      <c r="G367" s="817"/>
      <c r="H367" s="797">
        <f>RAB!H365</f>
        <v>12</v>
      </c>
      <c r="I367" s="797" t="str">
        <f>RAB!I365</f>
        <v>M'</v>
      </c>
      <c r="J367" s="797" t="str">
        <f>RAB!J365</f>
        <v>A.5.1.1 31.</v>
      </c>
      <c r="K367" s="804" t="str">
        <f>VLOOKUP(J367,RKPANL!B:D,2,0)</f>
        <v>Pemasangan 1 m’ pipa PVC tipe AW diameter 3”</v>
      </c>
      <c r="L367" s="800">
        <f>VLOOKUP(J367,RKPANL!B:D,3,0)</f>
        <v>100818.58333333333</v>
      </c>
      <c r="M367" s="1061">
        <f t="shared" si="33"/>
        <v>1209823</v>
      </c>
      <c r="N367" s="800"/>
      <c r="O367" s="1127">
        <v>0.72660000000000002</v>
      </c>
      <c r="P367" s="800">
        <f t="shared" si="34"/>
        <v>879057.39179999998</v>
      </c>
      <c r="Q367" s="1068">
        <f t="shared" si="35"/>
        <v>330765.60820000002</v>
      </c>
    </row>
    <row r="368" spans="2:17" ht="15.6" outlineLevel="2">
      <c r="B368" s="851"/>
      <c r="C368" s="848"/>
      <c r="D368" s="794"/>
      <c r="E368" s="794"/>
      <c r="F368" s="795"/>
      <c r="G368" s="817"/>
      <c r="H368" s="797"/>
      <c r="I368" s="852"/>
      <c r="J368" s="798"/>
      <c r="K368" s="804"/>
      <c r="L368" s="800"/>
      <c r="M368" s="1061"/>
      <c r="N368" s="800"/>
      <c r="O368" s="1127"/>
      <c r="P368" s="800"/>
      <c r="Q368" s="1068"/>
    </row>
    <row r="369" spans="2:19" ht="15.6" outlineLevel="2">
      <c r="B369" s="793"/>
      <c r="C369" s="848" t="s">
        <v>404</v>
      </c>
      <c r="D369" s="696" t="s">
        <v>419</v>
      </c>
      <c r="E369" s="849"/>
      <c r="F369" s="795"/>
      <c r="G369" s="817"/>
      <c r="H369" s="797"/>
      <c r="I369" s="798"/>
      <c r="J369" s="798"/>
      <c r="K369" s="804"/>
      <c r="L369" s="800"/>
      <c r="M369" s="1061"/>
      <c r="N369" s="800"/>
      <c r="O369" s="841"/>
      <c r="P369" s="800"/>
      <c r="Q369" s="1068"/>
    </row>
    <row r="370" spans="2:19" ht="15.6" outlineLevel="2">
      <c r="B370" s="793"/>
      <c r="C370" s="848"/>
      <c r="D370" s="794">
        <v>1</v>
      </c>
      <c r="E370" s="846" t="s">
        <v>907</v>
      </c>
      <c r="F370" s="795"/>
      <c r="G370" s="817"/>
      <c r="H370" s="797">
        <f>RAB!H368</f>
        <v>2</v>
      </c>
      <c r="I370" s="797" t="str">
        <f>RAB!I368</f>
        <v>Unit</v>
      </c>
      <c r="J370" s="797" t="str">
        <f>RAB!J368</f>
        <v>A.4.6.2.2</v>
      </c>
      <c r="K370" s="804" t="str">
        <f>VLOOKUP(J370,RKPANL!B:D,2,0)</f>
        <v>Memasang 1 bh kunci tanam</v>
      </c>
      <c r="L370" s="800">
        <f>VLOOKUP(J370,RKPANL!B:D,3,0)</f>
        <v>305698.75</v>
      </c>
      <c r="M370" s="1061">
        <f>L370*H370</f>
        <v>611397.5</v>
      </c>
      <c r="N370" s="800"/>
      <c r="O370" s="1127">
        <v>1</v>
      </c>
      <c r="P370" s="800">
        <f>M370*O370</f>
        <v>611397.5</v>
      </c>
      <c r="Q370" s="1068">
        <f>M370-P370</f>
        <v>0</v>
      </c>
    </row>
    <row r="371" spans="2:19" ht="15.6" outlineLevel="2">
      <c r="B371" s="793"/>
      <c r="C371" s="848"/>
      <c r="D371" s="794">
        <v>2</v>
      </c>
      <c r="E371" s="846" t="s">
        <v>908</v>
      </c>
      <c r="F371" s="795"/>
      <c r="G371" s="817"/>
      <c r="H371" s="797">
        <f>RAB!H369</f>
        <v>9</v>
      </c>
      <c r="I371" s="797" t="str">
        <f>RAB!I369</f>
        <v>Unit</v>
      </c>
      <c r="J371" s="797" t="str">
        <f>RAB!J369</f>
        <v>Hit. PT.02</v>
      </c>
      <c r="K371" s="804" t="str">
        <f>VLOOKUP(J371,RKPANL!B:D,2,0)</f>
        <v>Memasang 1 bh Pintu Aluminium Uk. 70x200 cm</v>
      </c>
      <c r="L371" s="800">
        <f>VLOOKUP(J371,RKPANL!B:D,3,0)</f>
        <v>1414068.75</v>
      </c>
      <c r="M371" s="1061">
        <f>L371*H371</f>
        <v>12726618.75</v>
      </c>
      <c r="N371" s="800"/>
      <c r="O371" s="1127">
        <v>0.87609999999999999</v>
      </c>
      <c r="P371" s="800">
        <f>M371*O371</f>
        <v>11149790.686875001</v>
      </c>
      <c r="Q371" s="1068">
        <f>M371-P371</f>
        <v>1576828.0631249994</v>
      </c>
    </row>
    <row r="372" spans="2:19" ht="15.6" outlineLevel="2">
      <c r="B372" s="793"/>
      <c r="C372" s="848"/>
      <c r="D372" s="794"/>
      <c r="E372" s="795"/>
      <c r="F372" s="795"/>
      <c r="G372" s="796"/>
      <c r="H372" s="797"/>
      <c r="I372" s="798"/>
      <c r="J372" s="798"/>
      <c r="K372" s="841"/>
      <c r="L372" s="800"/>
      <c r="M372" s="1061"/>
      <c r="N372" s="800"/>
      <c r="O372" s="841"/>
      <c r="P372" s="800"/>
      <c r="Q372" s="1068"/>
    </row>
    <row r="373" spans="2:19" ht="15.6" outlineLevel="2">
      <c r="B373" s="793"/>
      <c r="C373" s="848" t="s">
        <v>560</v>
      </c>
      <c r="D373" s="696" t="s">
        <v>422</v>
      </c>
      <c r="E373" s="849"/>
      <c r="F373" s="795"/>
      <c r="G373" s="817"/>
      <c r="H373" s="797"/>
      <c r="I373" s="798"/>
      <c r="J373" s="798"/>
      <c r="K373" s="804"/>
      <c r="L373" s="800"/>
      <c r="M373" s="1061"/>
      <c r="N373" s="800"/>
      <c r="O373" s="841"/>
      <c r="P373" s="800"/>
      <c r="Q373" s="1068"/>
    </row>
    <row r="374" spans="2:19" ht="15.6" outlineLevel="2">
      <c r="B374" s="793"/>
      <c r="C374" s="802"/>
      <c r="D374" s="850">
        <v>1</v>
      </c>
      <c r="E374" s="845" t="s">
        <v>919</v>
      </c>
      <c r="F374" s="795"/>
      <c r="G374" s="817"/>
      <c r="H374" s="797">
        <f>RAB!H372</f>
        <v>82.07</v>
      </c>
      <c r="I374" s="797" t="str">
        <f>RAB!I372</f>
        <v>M2</v>
      </c>
      <c r="J374" s="797" t="str">
        <f>RAB!J372</f>
        <v>A.4.7.1.11.</v>
      </c>
      <c r="K374" s="804" t="str">
        <f>VLOOKUP(J374,RKPANL!B:D,2,0)</f>
        <v>Pengecatan 1 m2 Tembok Lama (1 Lapis Cat Dasar, 2 Lapis Cat 
Penutup) 
lapis cat penutup)</v>
      </c>
      <c r="L374" s="800">
        <f>VLOOKUP(J374,RKPANL!B:D,3,0)</f>
        <v>43204.35</v>
      </c>
      <c r="M374" s="1061">
        <f>L374*H374</f>
        <v>3545781.0044999998</v>
      </c>
      <c r="N374" s="800"/>
      <c r="O374" s="1127">
        <v>0.70269999999999999</v>
      </c>
      <c r="P374" s="800">
        <f>M374*O374</f>
        <v>2491620.3118621497</v>
      </c>
      <c r="Q374" s="1068">
        <f>M374-P374</f>
        <v>1054160.6926378501</v>
      </c>
    </row>
    <row r="375" spans="2:19" outlineLevel="2">
      <c r="B375" s="793"/>
      <c r="C375" s="802"/>
      <c r="D375" s="794"/>
      <c r="E375" s="795"/>
      <c r="F375" s="795"/>
      <c r="G375" s="796"/>
      <c r="H375" s="797"/>
      <c r="I375" s="798"/>
      <c r="J375" s="798"/>
      <c r="K375" s="841"/>
      <c r="L375" s="800"/>
      <c r="M375" s="1061"/>
      <c r="N375" s="800"/>
      <c r="O375" s="841"/>
      <c r="P375" s="800"/>
      <c r="Q375" s="1068"/>
    </row>
    <row r="376" spans="2:19" ht="15.6" outlineLevel="1">
      <c r="B376" s="1093"/>
      <c r="C376" s="1094"/>
      <c r="D376" s="1094"/>
      <c r="E376" s="1094"/>
      <c r="F376" s="1094"/>
      <c r="G376" s="1094"/>
      <c r="H376" s="1095"/>
      <c r="I376" s="1094"/>
      <c r="J376" s="1094"/>
      <c r="K376" s="1095"/>
      <c r="L376" s="1099"/>
      <c r="M376" s="1100" t="s">
        <v>836</v>
      </c>
      <c r="N376" s="1096">
        <f>SUM(M344:M374)</f>
        <v>73654931.004500002</v>
      </c>
      <c r="O376" s="1123"/>
      <c r="P376" s="1096">
        <f t="shared" ref="P376:Q376" si="36">SUM(P342:P375)</f>
        <v>65343799.991187148</v>
      </c>
      <c r="Q376" s="1101">
        <f t="shared" si="36"/>
        <v>8311131.0133128483</v>
      </c>
    </row>
    <row r="377" spans="2:19" s="1098" customFormat="1" ht="21.6" customHeight="1">
      <c r="B377" s="1102"/>
      <c r="C377" s="1103"/>
      <c r="D377" s="1103"/>
      <c r="E377" s="1103"/>
      <c r="F377" s="1103"/>
      <c r="G377" s="1103"/>
      <c r="H377" s="1104"/>
      <c r="I377" s="1103"/>
      <c r="J377" s="1103"/>
      <c r="K377" s="1272" t="s">
        <v>503</v>
      </c>
      <c r="L377" s="1272"/>
      <c r="M377" s="1105"/>
      <c r="N377" s="1106">
        <f>SUM(N236:N376)</f>
        <v>277314650.426</v>
      </c>
      <c r="O377" s="1124"/>
      <c r="P377" s="1106">
        <f t="shared" ref="P377:Q377" si="37">SUM(P236:P376)/2</f>
        <v>253004744.62348402</v>
      </c>
      <c r="Q377" s="1186">
        <f t="shared" si="37"/>
        <v>24309905.802516047</v>
      </c>
      <c r="S377" s="1114"/>
    </row>
    <row r="378" spans="2:19" ht="15.6">
      <c r="B378" s="851" t="s">
        <v>174</v>
      </c>
      <c r="C378" s="1185" t="s">
        <v>484</v>
      </c>
      <c r="E378" s="875"/>
      <c r="F378" s="795"/>
      <c r="G378" s="796"/>
      <c r="H378" s="797"/>
      <c r="I378" s="798"/>
      <c r="J378" s="798"/>
      <c r="K378" s="876"/>
      <c r="L378" s="877"/>
      <c r="M378" s="1060"/>
      <c r="N378" s="877"/>
      <c r="O378" s="895"/>
      <c r="P378" s="877"/>
      <c r="Q378" s="1067"/>
    </row>
    <row r="379" spans="2:19" ht="15.6" outlineLevel="1">
      <c r="B379" s="880"/>
      <c r="C379" s="1187" t="s">
        <v>813</v>
      </c>
      <c r="D379" s="696" t="s">
        <v>699</v>
      </c>
      <c r="E379" s="875"/>
      <c r="F379" s="795"/>
      <c r="G379" s="796"/>
      <c r="H379" s="797"/>
      <c r="I379" s="798"/>
      <c r="J379" s="798"/>
      <c r="K379" s="895"/>
      <c r="L379" s="877"/>
      <c r="M379" s="1060"/>
      <c r="N379" s="877"/>
      <c r="O379" s="895"/>
      <c r="P379" s="877"/>
      <c r="Q379" s="1067"/>
    </row>
    <row r="380" spans="2:19" ht="15.6" outlineLevel="2">
      <c r="B380" s="793"/>
      <c r="C380" s="848" t="s">
        <v>2</v>
      </c>
      <c r="D380" s="696" t="s">
        <v>461</v>
      </c>
      <c r="E380" s="849"/>
      <c r="F380" s="795"/>
      <c r="G380" s="796"/>
      <c r="H380" s="797"/>
      <c r="I380" s="798"/>
      <c r="J380" s="798"/>
      <c r="K380" s="799"/>
      <c r="L380" s="800"/>
      <c r="M380" s="1061"/>
      <c r="N380" s="800"/>
      <c r="O380" s="841"/>
      <c r="P380" s="800"/>
      <c r="Q380" s="1068"/>
    </row>
    <row r="381" spans="2:19" outlineLevel="2">
      <c r="B381" s="793"/>
      <c r="C381" s="802"/>
      <c r="D381" s="794">
        <v>1</v>
      </c>
      <c r="E381" s="795" t="s">
        <v>485</v>
      </c>
      <c r="F381" s="795"/>
      <c r="G381" s="796"/>
      <c r="H381" s="797">
        <f>RAB!H379</f>
        <v>25.5</v>
      </c>
      <c r="I381" s="797" t="str">
        <f>RAB!I379</f>
        <v>M2</v>
      </c>
      <c r="J381" s="797" t="str">
        <f>RAB!J379</f>
        <v>Taksir</v>
      </c>
      <c r="K381" s="804" t="e">
        <f>VLOOKUP(J381,RKPANL!B:D,2,0)</f>
        <v>#N/A</v>
      </c>
      <c r="L381" s="800">
        <f>RAB!L379</f>
        <v>600000</v>
      </c>
      <c r="M381" s="1061">
        <f>L381*H381</f>
        <v>15300000</v>
      </c>
      <c r="N381" s="800"/>
      <c r="O381" s="1127">
        <v>0.76500000000000001</v>
      </c>
      <c r="P381" s="800">
        <f>M381*O381</f>
        <v>11704500</v>
      </c>
      <c r="Q381" s="1068">
        <f>M381-P381</f>
        <v>3595500</v>
      </c>
    </row>
    <row r="382" spans="2:19" outlineLevel="2">
      <c r="B382" s="793"/>
      <c r="C382" s="802"/>
      <c r="D382" s="794"/>
      <c r="E382" s="812"/>
      <c r="F382" s="795"/>
      <c r="G382" s="796"/>
      <c r="H382" s="797"/>
      <c r="I382" s="798"/>
      <c r="J382" s="798"/>
      <c r="K382" s="804"/>
      <c r="L382" s="800"/>
      <c r="M382" s="1061"/>
      <c r="N382" s="800"/>
      <c r="O382" s="841"/>
      <c r="P382" s="800"/>
      <c r="Q382" s="1068"/>
    </row>
    <row r="383" spans="2:19" ht="15.6" outlineLevel="2">
      <c r="B383" s="793"/>
      <c r="C383" s="848" t="s">
        <v>16</v>
      </c>
      <c r="D383" s="696" t="s">
        <v>424</v>
      </c>
      <c r="E383" s="849"/>
      <c r="F383" s="795"/>
      <c r="G383" s="817"/>
      <c r="H383" s="797"/>
      <c r="I383" s="798"/>
      <c r="J383" s="798"/>
      <c r="K383" s="804"/>
      <c r="L383" s="800"/>
      <c r="M383" s="1061"/>
      <c r="N383" s="800"/>
      <c r="O383" s="841"/>
      <c r="P383" s="800"/>
      <c r="Q383" s="1068"/>
    </row>
    <row r="384" spans="2:19" ht="15.6" outlineLevel="2">
      <c r="B384" s="793"/>
      <c r="C384" s="848"/>
      <c r="D384" s="794">
        <v>1</v>
      </c>
      <c r="E384" s="812" t="s">
        <v>489</v>
      </c>
      <c r="F384" s="795"/>
      <c r="G384" s="817"/>
      <c r="H384" s="797">
        <f>RAB!H382</f>
        <v>1</v>
      </c>
      <c r="I384" s="797" t="str">
        <f>RAB!I382</f>
        <v>Ls</v>
      </c>
      <c r="J384" s="797" t="str">
        <f>RAB!J382</f>
        <v>Taksir</v>
      </c>
      <c r="K384" s="804" t="e">
        <f>VLOOKUP(J384,RKPANL!B:D,2,0)</f>
        <v>#N/A</v>
      </c>
      <c r="L384" s="800">
        <f>RAB!L382</f>
        <v>1000000</v>
      </c>
      <c r="M384" s="1061">
        <f>L384*H384</f>
        <v>1000000</v>
      </c>
      <c r="N384" s="800"/>
      <c r="O384" s="1127">
        <v>0.87039999999999995</v>
      </c>
      <c r="P384" s="800">
        <f>M384*O384</f>
        <v>870400</v>
      </c>
      <c r="Q384" s="1068">
        <f>M384-P384</f>
        <v>129600</v>
      </c>
    </row>
    <row r="385" spans="2:17" ht="15.6" outlineLevel="2">
      <c r="B385" s="793"/>
      <c r="C385" s="848"/>
      <c r="D385" s="794">
        <v>2</v>
      </c>
      <c r="E385" s="812" t="s">
        <v>427</v>
      </c>
      <c r="F385" s="795"/>
      <c r="G385" s="817"/>
      <c r="H385" s="797">
        <f>RAB!H383</f>
        <v>1</v>
      </c>
      <c r="I385" s="797" t="str">
        <f>RAB!I383</f>
        <v>Ls</v>
      </c>
      <c r="J385" s="797" t="str">
        <f>RAB!J383</f>
        <v>Taksir</v>
      </c>
      <c r="K385" s="804" t="e">
        <f>VLOOKUP(J385,RKPANL!B:D,2,0)</f>
        <v>#N/A</v>
      </c>
      <c r="L385" s="800">
        <f>RAB!L383</f>
        <v>500000</v>
      </c>
      <c r="M385" s="1061">
        <f>L385*H385</f>
        <v>500000</v>
      </c>
      <c r="N385" s="800"/>
      <c r="O385" s="1127">
        <v>0.70269999999999999</v>
      </c>
      <c r="P385" s="800">
        <f>M385*O385</f>
        <v>351350</v>
      </c>
      <c r="Q385" s="1068">
        <f>M385-P385</f>
        <v>148650</v>
      </c>
    </row>
    <row r="386" spans="2:17" ht="15.6" outlineLevel="2">
      <c r="B386" s="851"/>
      <c r="C386" s="848"/>
      <c r="D386" s="794"/>
      <c r="E386" s="794"/>
      <c r="F386" s="795"/>
      <c r="G386" s="817"/>
      <c r="H386" s="797"/>
      <c r="I386" s="798"/>
      <c r="J386" s="798"/>
      <c r="K386" s="804"/>
      <c r="L386" s="800"/>
      <c r="M386" s="1061"/>
      <c r="N386" s="800"/>
      <c r="O386" s="841"/>
      <c r="P386" s="800"/>
      <c r="Q386" s="1068"/>
    </row>
    <row r="387" spans="2:17" ht="15.6" outlineLevel="2">
      <c r="B387" s="793"/>
      <c r="C387" s="848" t="s">
        <v>17</v>
      </c>
      <c r="D387" s="696" t="s">
        <v>486</v>
      </c>
      <c r="E387" s="849"/>
      <c r="F387" s="795"/>
      <c r="G387" s="817"/>
      <c r="H387" s="797"/>
      <c r="I387" s="798"/>
      <c r="J387" s="798"/>
      <c r="K387" s="804"/>
      <c r="L387" s="800"/>
      <c r="M387" s="1061"/>
      <c r="N387" s="800"/>
      <c r="O387" s="841"/>
      <c r="P387" s="800"/>
      <c r="Q387" s="1068"/>
    </row>
    <row r="388" spans="2:17" ht="15.6" outlineLevel="2">
      <c r="B388" s="793"/>
      <c r="C388" s="848"/>
      <c r="D388" s="794">
        <v>1</v>
      </c>
      <c r="E388" s="812" t="s">
        <v>487</v>
      </c>
      <c r="F388" s="795"/>
      <c r="G388" s="817"/>
      <c r="H388" s="797">
        <f>RAB!H386</f>
        <v>2</v>
      </c>
      <c r="I388" s="797" t="str">
        <f>RAB!I386</f>
        <v>Unit</v>
      </c>
      <c r="J388" s="797" t="str">
        <f>RAB!J386</f>
        <v>A.4.6.2.2</v>
      </c>
      <c r="K388" s="804" t="str">
        <f>VLOOKUP(J388,RKPANL!B:D,2,0)</f>
        <v>Memasang 1 bh kunci tanam</v>
      </c>
      <c r="L388" s="800">
        <f>VLOOKUP(J388,RKPANL!B:D,3,0)</f>
        <v>305698.75</v>
      </c>
      <c r="M388" s="1061">
        <f>L388*H388</f>
        <v>611397.5</v>
      </c>
      <c r="N388" s="800"/>
      <c r="O388" s="1127">
        <v>1</v>
      </c>
      <c r="P388" s="800">
        <f>M388*O388</f>
        <v>611397.5</v>
      </c>
      <c r="Q388" s="1068">
        <f>M388-P388</f>
        <v>0</v>
      </c>
    </row>
    <row r="389" spans="2:17" ht="15.6" outlineLevel="2">
      <c r="B389" s="793"/>
      <c r="C389" s="848"/>
      <c r="D389" s="794">
        <v>2</v>
      </c>
      <c r="E389" s="812" t="s">
        <v>500</v>
      </c>
      <c r="F389" s="795"/>
      <c r="G389" s="817"/>
      <c r="H389" s="797">
        <f>RAB!H387</f>
        <v>1</v>
      </c>
      <c r="I389" s="797" t="str">
        <f>RAB!I387</f>
        <v>Unit</v>
      </c>
      <c r="J389" s="797" t="str">
        <f>RAB!J387</f>
        <v>A.4.6.2.13</v>
      </c>
      <c r="K389" s="804" t="str">
        <f>VLOOKUP(J389,RKPANL!B:D,2,0)</f>
        <v>Memasang 1 bh handle Pintu</v>
      </c>
      <c r="L389" s="800">
        <f>VLOOKUP(J389,RKPANL!B:D,3,0)</f>
        <v>398618.75</v>
      </c>
      <c r="M389" s="1061">
        <f>L389*H389</f>
        <v>398618.75</v>
      </c>
      <c r="N389" s="800"/>
      <c r="O389" s="1127">
        <v>1</v>
      </c>
      <c r="P389" s="800">
        <f>M389*O389</f>
        <v>398618.75</v>
      </c>
      <c r="Q389" s="1068">
        <f>M389-P389</f>
        <v>0</v>
      </c>
    </row>
    <row r="390" spans="2:17" ht="15.6" outlineLevel="2">
      <c r="B390" s="793"/>
      <c r="C390" s="848"/>
      <c r="D390" s="794">
        <v>3</v>
      </c>
      <c r="E390" s="812" t="s">
        <v>488</v>
      </c>
      <c r="F390" s="795"/>
      <c r="G390" s="817"/>
      <c r="H390" s="797">
        <f>RAB!H388</f>
        <v>1</v>
      </c>
      <c r="I390" s="797" t="str">
        <f>RAB!I388</f>
        <v>Unit</v>
      </c>
      <c r="J390" s="797" t="str">
        <f>RAB!J388</f>
        <v>A.4.6.2.8</v>
      </c>
      <c r="K390" s="804" t="str">
        <f>VLOOKUP(J390,RKPANL!B:D,2,0)</f>
        <v>Memasang 1 bh engsel jendela Alumunium</v>
      </c>
      <c r="L390" s="800">
        <f>VLOOKUP(J390,RKPANL!B:D,3,0)</f>
        <v>112714.375</v>
      </c>
      <c r="M390" s="1061">
        <f>L390*H390</f>
        <v>112714.375</v>
      </c>
      <c r="N390" s="800"/>
      <c r="O390" s="1127">
        <v>1</v>
      </c>
      <c r="P390" s="800">
        <f>M390*O390</f>
        <v>112714.375</v>
      </c>
      <c r="Q390" s="1068">
        <f>M390-P390</f>
        <v>0</v>
      </c>
    </row>
    <row r="391" spans="2:17" outlineLevel="2">
      <c r="B391" s="793"/>
      <c r="C391" s="802"/>
      <c r="D391" s="794">
        <v>4</v>
      </c>
      <c r="E391" s="795" t="s">
        <v>700</v>
      </c>
      <c r="F391" s="795"/>
      <c r="G391" s="796"/>
      <c r="H391" s="797">
        <f>RAB!H389</f>
        <v>35.400000000000006</v>
      </c>
      <c r="I391" s="797" t="str">
        <f>RAB!I389</f>
        <v>M2</v>
      </c>
      <c r="J391" s="797" t="str">
        <f>RAB!J389</f>
        <v>Harga Satuan</v>
      </c>
      <c r="K391" s="804" t="e">
        <f>VLOOKUP(J391,RKPANL!B:D,2,0)</f>
        <v>#N/A</v>
      </c>
      <c r="L391" s="800">
        <f>RAB!L389</f>
        <v>500000</v>
      </c>
      <c r="M391" s="1061">
        <f>L391*H391</f>
        <v>17700000.000000004</v>
      </c>
      <c r="N391" s="800"/>
      <c r="O391" s="1127">
        <v>0.8</v>
      </c>
      <c r="P391" s="800">
        <f>M391*O391</f>
        <v>14160000.000000004</v>
      </c>
      <c r="Q391" s="1068">
        <f>M391-P391</f>
        <v>3540000</v>
      </c>
    </row>
    <row r="392" spans="2:17" ht="15.6" outlineLevel="2">
      <c r="B392" s="851"/>
      <c r="C392" s="848"/>
      <c r="D392" s="794"/>
      <c r="E392" s="794"/>
      <c r="F392" s="795"/>
      <c r="G392" s="817"/>
      <c r="H392" s="797"/>
      <c r="I392" s="798"/>
      <c r="J392" s="798"/>
      <c r="K392" s="804"/>
      <c r="L392" s="800"/>
      <c r="M392" s="1061"/>
      <c r="N392" s="800"/>
      <c r="O392" s="841"/>
      <c r="P392" s="800"/>
      <c r="Q392" s="1068"/>
    </row>
    <row r="393" spans="2:17" ht="15.6" outlineLevel="2">
      <c r="B393" s="793"/>
      <c r="C393" s="848" t="s">
        <v>18</v>
      </c>
      <c r="D393" s="696" t="s">
        <v>422</v>
      </c>
      <c r="E393" s="849"/>
      <c r="F393" s="795"/>
      <c r="G393" s="817"/>
      <c r="H393" s="797"/>
      <c r="I393" s="798"/>
      <c r="J393" s="798"/>
      <c r="K393" s="804"/>
      <c r="L393" s="800"/>
      <c r="M393" s="1061"/>
      <c r="N393" s="800"/>
      <c r="O393" s="841"/>
      <c r="P393" s="800"/>
      <c r="Q393" s="1068"/>
    </row>
    <row r="394" spans="2:17" ht="15.6" outlineLevel="2">
      <c r="B394" s="793"/>
      <c r="C394" s="848"/>
      <c r="D394" s="850">
        <v>1</v>
      </c>
      <c r="E394" s="845" t="s">
        <v>445</v>
      </c>
      <c r="F394" s="795"/>
      <c r="G394" s="817"/>
      <c r="H394" s="797">
        <f>RAB!H392</f>
        <v>133</v>
      </c>
      <c r="I394" s="797" t="str">
        <f>RAB!I392</f>
        <v>M2</v>
      </c>
      <c r="J394" s="797" t="str">
        <f>RAB!J392</f>
        <v>A.4.7.1.11.</v>
      </c>
      <c r="K394" s="804" t="str">
        <f>VLOOKUP(J394,RKPANL!B:D,2,0)</f>
        <v>Pengecatan 1 m2 Tembok Lama (1 Lapis Cat Dasar, 2 Lapis Cat 
Penutup) 
lapis cat penutup)</v>
      </c>
      <c r="L394" s="800">
        <f>VLOOKUP(J394,RKPANL!B:D,3,0)</f>
        <v>43204.35</v>
      </c>
      <c r="M394" s="1061">
        <f>L394*H394</f>
        <v>5746178.5499999998</v>
      </c>
      <c r="N394" s="800"/>
      <c r="O394" s="1127">
        <v>0.70269999999999999</v>
      </c>
      <c r="P394" s="800">
        <f>M394*O394</f>
        <v>4037839.6670849998</v>
      </c>
      <c r="Q394" s="1068">
        <f>M394-P394</f>
        <v>1708338.882915</v>
      </c>
    </row>
    <row r="395" spans="2:17" outlineLevel="2">
      <c r="B395" s="793"/>
      <c r="C395" s="802"/>
      <c r="D395" s="794"/>
      <c r="E395" s="795"/>
      <c r="F395" s="795"/>
      <c r="G395" s="796"/>
      <c r="H395" s="797"/>
      <c r="I395" s="798"/>
      <c r="J395" s="798"/>
      <c r="K395" s="841"/>
      <c r="L395" s="800"/>
      <c r="M395" s="1061"/>
      <c r="N395" s="800"/>
      <c r="O395" s="841"/>
      <c r="P395" s="800"/>
      <c r="Q395" s="1068"/>
    </row>
    <row r="396" spans="2:17" ht="15.6" outlineLevel="1">
      <c r="B396" s="1093"/>
      <c r="C396" s="1094"/>
      <c r="D396" s="1094"/>
      <c r="E396" s="1094"/>
      <c r="F396" s="1094"/>
      <c r="G396" s="1094"/>
      <c r="H396" s="1095"/>
      <c r="I396" s="1094"/>
      <c r="J396" s="1094"/>
      <c r="K396" s="1095"/>
      <c r="L396" s="1099"/>
      <c r="M396" s="1100" t="s">
        <v>862</v>
      </c>
      <c r="N396" s="1096">
        <f>SUM(M381:M394)</f>
        <v>41368909.174999997</v>
      </c>
      <c r="O396" s="1123"/>
      <c r="P396" s="1096">
        <f t="shared" ref="P396:Q396" si="38">SUM(P379:P395)</f>
        <v>32246820.292085003</v>
      </c>
      <c r="Q396" s="1101">
        <f t="shared" si="38"/>
        <v>9122088.8829149995</v>
      </c>
    </row>
    <row r="397" spans="2:17" ht="15.6" outlineLevel="1">
      <c r="B397" s="880"/>
      <c r="C397" s="1187" t="s">
        <v>814</v>
      </c>
      <c r="D397" s="696" t="s">
        <v>465</v>
      </c>
      <c r="E397" s="875"/>
      <c r="F397" s="795"/>
      <c r="G397" s="796"/>
      <c r="H397" s="797"/>
      <c r="I397" s="798"/>
      <c r="J397" s="798"/>
      <c r="K397" s="895"/>
      <c r="L397" s="877"/>
      <c r="M397" s="1060"/>
      <c r="N397" s="877"/>
      <c r="O397" s="895"/>
      <c r="P397" s="877"/>
      <c r="Q397" s="1067"/>
    </row>
    <row r="398" spans="2:17" ht="15.6" outlineLevel="2">
      <c r="B398" s="793"/>
      <c r="C398" s="848" t="s">
        <v>2</v>
      </c>
      <c r="D398" s="696" t="s">
        <v>466</v>
      </c>
      <c r="E398" s="849"/>
      <c r="F398" s="795"/>
      <c r="G398" s="796"/>
      <c r="H398" s="797"/>
      <c r="I398" s="798"/>
      <c r="J398" s="798"/>
      <c r="K398" s="804"/>
      <c r="L398" s="800"/>
      <c r="M398" s="1061"/>
      <c r="N398" s="800"/>
      <c r="O398" s="841"/>
      <c r="P398" s="800"/>
      <c r="Q398" s="1068"/>
    </row>
    <row r="399" spans="2:17" outlineLevel="2">
      <c r="B399" s="793"/>
      <c r="C399" s="802"/>
      <c r="D399" s="794">
        <v>1</v>
      </c>
      <c r="E399" s="795" t="s">
        <v>899</v>
      </c>
      <c r="F399" s="795"/>
      <c r="G399" s="796"/>
      <c r="H399" s="797">
        <f>RAB!H397</f>
        <v>1</v>
      </c>
      <c r="I399" s="797" t="str">
        <f>RAB!I397</f>
        <v>Ls</v>
      </c>
      <c r="J399" s="797" t="str">
        <f>RAB!J397</f>
        <v>Taksir</v>
      </c>
      <c r="K399" s="804" t="e">
        <f>VLOOKUP(J399,RKPANL!B:D,2,0)</f>
        <v>#N/A</v>
      </c>
      <c r="L399" s="800">
        <f>RAB!L397</f>
        <v>2000000</v>
      </c>
      <c r="M399" s="1061">
        <f>L399*H399</f>
        <v>2000000</v>
      </c>
      <c r="N399" s="800"/>
      <c r="O399" s="1127">
        <v>1</v>
      </c>
      <c r="P399" s="800">
        <f>M399*O399</f>
        <v>2000000</v>
      </c>
      <c r="Q399" s="1068">
        <f>M399-P399</f>
        <v>0</v>
      </c>
    </row>
    <row r="400" spans="2:17" outlineLevel="2">
      <c r="B400" s="793"/>
      <c r="C400" s="802"/>
      <c r="D400" s="794">
        <v>2</v>
      </c>
      <c r="E400" s="795" t="s">
        <v>469</v>
      </c>
      <c r="F400" s="795"/>
      <c r="G400" s="796"/>
      <c r="H400" s="797"/>
      <c r="I400" s="798"/>
      <c r="J400" s="798"/>
      <c r="K400" s="804"/>
      <c r="L400" s="800"/>
      <c r="M400" s="1061"/>
      <c r="N400" s="800"/>
      <c r="O400" s="841"/>
      <c r="P400" s="800"/>
      <c r="Q400" s="1068"/>
    </row>
    <row r="401" spans="2:17" outlineLevel="2">
      <c r="B401" s="793"/>
      <c r="C401" s="802"/>
      <c r="D401" s="794"/>
      <c r="E401" s="803" t="s">
        <v>850</v>
      </c>
      <c r="F401" s="795"/>
      <c r="G401" s="796"/>
      <c r="H401" s="797">
        <f>RAB!H399</f>
        <v>0.375</v>
      </c>
      <c r="I401" s="797" t="str">
        <f>RAB!I399</f>
        <v>M3</v>
      </c>
      <c r="J401" s="797" t="str">
        <f>RAB!J399</f>
        <v>A.4.1.1.11.</v>
      </c>
      <c r="K401" s="804" t="str">
        <f>VLOOKUP(J401,RKPANL!B:D,2,0)</f>
        <v>Membuat 1 m3 beton mutu f’c = 14,5 Mpa (K175)</v>
      </c>
      <c r="L401" s="800">
        <f>VLOOKUP(J401,RKPANL!B:D,3,0)</f>
        <v>1342419.010989011</v>
      </c>
      <c r="M401" s="1061">
        <f t="shared" ref="M401:M404" si="39">L401*H401</f>
        <v>503407.12912087911</v>
      </c>
      <c r="N401" s="800"/>
      <c r="O401" s="1127">
        <v>0.95899999999999996</v>
      </c>
      <c r="P401" s="800">
        <f>M401*O401</f>
        <v>482767.43682692305</v>
      </c>
      <c r="Q401" s="1068">
        <f>M401-P401</f>
        <v>20639.692293956061</v>
      </c>
    </row>
    <row r="402" spans="2:17" outlineLevel="2">
      <c r="B402" s="793"/>
      <c r="C402" s="802"/>
      <c r="D402" s="794"/>
      <c r="E402" s="803" t="s">
        <v>851</v>
      </c>
      <c r="F402" s="795"/>
      <c r="G402" s="796"/>
      <c r="H402" s="797">
        <f>RAB!H400</f>
        <v>44.368200000000002</v>
      </c>
      <c r="I402" s="797" t="str">
        <f>RAB!I400</f>
        <v>Kg</v>
      </c>
      <c r="J402" s="797" t="str">
        <f>RAB!J400</f>
        <v>A.4.1.1.17.</v>
      </c>
      <c r="K402" s="804" t="str">
        <f>VLOOKUP(J402,RKPANL!B:D,2,0)</f>
        <v xml:space="preserve">Pembesian 1 kg dengan besi polos Pembesian untuk 10 kg dengan besi polos </v>
      </c>
      <c r="L402" s="800">
        <f>VLOOKUP(J402,RKPANL!B:D,3,0)</f>
        <v>19744.349999999999</v>
      </c>
      <c r="M402" s="1061">
        <f t="shared" si="39"/>
        <v>876021.26966999995</v>
      </c>
      <c r="N402" s="800"/>
      <c r="O402" s="1127">
        <v>0.60250000000000004</v>
      </c>
      <c r="P402" s="800">
        <f>M402*O402</f>
        <v>527802.81497617497</v>
      </c>
      <c r="Q402" s="1068">
        <f>M402-P402</f>
        <v>348218.45469382498</v>
      </c>
    </row>
    <row r="403" spans="2:17" outlineLevel="2">
      <c r="B403" s="793"/>
      <c r="C403" s="802"/>
      <c r="D403" s="794"/>
      <c r="E403" s="803" t="s">
        <v>892</v>
      </c>
      <c r="F403" s="795"/>
      <c r="G403" s="796"/>
      <c r="H403" s="797">
        <f>RAB!H401</f>
        <v>22.67708</v>
      </c>
      <c r="I403" s="797" t="str">
        <f>RAB!I401</f>
        <v>Kg</v>
      </c>
      <c r="J403" s="797" t="str">
        <f>RAB!J401</f>
        <v>A.4.1.1.17.</v>
      </c>
      <c r="K403" s="804" t="str">
        <f>VLOOKUP(J403,RKPANL!B:D,2,0)</f>
        <v xml:space="preserve">Pembesian 1 kg dengan besi polos Pembesian untuk 10 kg dengan besi polos </v>
      </c>
      <c r="L403" s="800">
        <f>VLOOKUP(J403,RKPANL!B:D,3,0)</f>
        <v>19744.349999999999</v>
      </c>
      <c r="M403" s="1061">
        <f t="shared" si="39"/>
        <v>447744.20449799998</v>
      </c>
      <c r="N403" s="800"/>
      <c r="O403" s="1127">
        <v>0.60250000000000004</v>
      </c>
      <c r="P403" s="800">
        <f>M403*O403</f>
        <v>269765.88321004499</v>
      </c>
      <c r="Q403" s="1068">
        <f>M403-P403</f>
        <v>177978.32128795498</v>
      </c>
    </row>
    <row r="404" spans="2:17" outlineLevel="2">
      <c r="B404" s="793"/>
      <c r="C404" s="802"/>
      <c r="D404" s="794"/>
      <c r="E404" s="803" t="s">
        <v>244</v>
      </c>
      <c r="F404" s="795"/>
      <c r="G404" s="796"/>
      <c r="H404" s="797">
        <f>RAB!H402</f>
        <v>6.875</v>
      </c>
      <c r="I404" s="797" t="str">
        <f>RAB!I402</f>
        <v>M2</v>
      </c>
      <c r="J404" s="797" t="str">
        <f>RAB!J402</f>
        <v>A.4.1.1.21.</v>
      </c>
      <c r="K404" s="804" t="str">
        <f>VLOOKUP(J404,RKPANL!B:D,2,0)</f>
        <v>Pemasangan 1 m2 bekisting untuk sloof / kolom praktis</v>
      </c>
      <c r="L404" s="800">
        <f>VLOOKUP(J404,RKPANL!B:D,3,0)</f>
        <v>318285.5</v>
      </c>
      <c r="M404" s="1061">
        <f t="shared" si="39"/>
        <v>2188212.8125</v>
      </c>
      <c r="N404" s="800"/>
      <c r="O404" s="1127">
        <v>0.99719999999999998</v>
      </c>
      <c r="P404" s="800">
        <f>M404*O404</f>
        <v>2182085.816625</v>
      </c>
      <c r="Q404" s="1068">
        <f>M404-P404</f>
        <v>6126.9958750000224</v>
      </c>
    </row>
    <row r="405" spans="2:17" outlineLevel="2">
      <c r="B405" s="793"/>
      <c r="C405" s="802"/>
      <c r="D405" s="794">
        <v>3</v>
      </c>
      <c r="E405" s="795" t="s">
        <v>713</v>
      </c>
      <c r="F405" s="795"/>
      <c r="G405" s="796"/>
      <c r="H405" s="797">
        <f>RAB!H403</f>
        <v>16</v>
      </c>
      <c r="I405" s="797" t="str">
        <f>RAB!I403</f>
        <v>M'</v>
      </c>
      <c r="J405" s="797" t="str">
        <f>RAB!J403</f>
        <v>A.4.1.1.35.</v>
      </c>
      <c r="K405" s="804" t="str">
        <f>VLOOKUP(J405,RKPANL!B:D,2,0)</f>
        <v>Membuat 1 m’ kolom praktis beton bertulang (11 x 11) cm</v>
      </c>
      <c r="L405" s="800">
        <f>VLOOKUP(J405,RKPANL!B:D,3,0)</f>
        <v>119594.25</v>
      </c>
      <c r="M405" s="1061">
        <f>L405*H405</f>
        <v>1913508</v>
      </c>
      <c r="N405" s="800"/>
      <c r="O405" s="1127">
        <v>0.75629999999999997</v>
      </c>
      <c r="P405" s="800">
        <f>M405*O405</f>
        <v>1447186.1003999999</v>
      </c>
      <c r="Q405" s="1068">
        <f>M405-P405</f>
        <v>466321.89960000012</v>
      </c>
    </row>
    <row r="406" spans="2:17" outlineLevel="2">
      <c r="B406" s="793"/>
      <c r="C406" s="802"/>
      <c r="D406" s="794"/>
      <c r="E406" s="812"/>
      <c r="F406" s="795"/>
      <c r="G406" s="796"/>
      <c r="H406" s="797"/>
      <c r="I406" s="798"/>
      <c r="J406" s="798"/>
      <c r="K406" s="804"/>
      <c r="L406" s="800"/>
      <c r="M406" s="1061"/>
      <c r="N406" s="800"/>
      <c r="O406" s="841"/>
      <c r="P406" s="800"/>
      <c r="Q406" s="1068"/>
    </row>
    <row r="407" spans="2:17" ht="15.6" outlineLevel="2">
      <c r="B407" s="793"/>
      <c r="C407" s="848" t="s">
        <v>16</v>
      </c>
      <c r="D407" s="696" t="s">
        <v>648</v>
      </c>
      <c r="E407" s="849"/>
      <c r="F407" s="795"/>
      <c r="G407" s="817"/>
      <c r="H407" s="797"/>
      <c r="I407" s="798"/>
      <c r="J407" s="798"/>
      <c r="K407" s="804"/>
      <c r="L407" s="800"/>
      <c r="M407" s="1061"/>
      <c r="N407" s="800"/>
      <c r="O407" s="841"/>
      <c r="P407" s="800"/>
      <c r="Q407" s="1068"/>
    </row>
    <row r="408" spans="2:17" ht="15.6" outlineLevel="2">
      <c r="B408" s="793"/>
      <c r="C408" s="848"/>
      <c r="D408" s="794">
        <v>1</v>
      </c>
      <c r="E408" s="812" t="s">
        <v>468</v>
      </c>
      <c r="F408" s="795"/>
      <c r="G408" s="817"/>
      <c r="H408" s="797">
        <f>RAB!H406</f>
        <v>23.75</v>
      </c>
      <c r="I408" s="797" t="str">
        <f>RAB!I406</f>
        <v>M2</v>
      </c>
      <c r="J408" s="797" t="str">
        <f>RAB!J406</f>
        <v>A.4.4.1.9</v>
      </c>
      <c r="K408" s="804" t="str">
        <f>VLOOKUP(J408,RKPANL!B:D,2,0)</f>
        <v>Pemasangan 1 m2 dinding bata merah (5x11x22) cm tebal ½ batu
campuran 1SP :4PP</v>
      </c>
      <c r="L408" s="800">
        <f>VLOOKUP(J408,RKPANL!B:D,3,0)</f>
        <v>143836.25</v>
      </c>
      <c r="M408" s="1061">
        <f t="shared" ref="M408:M412" si="40">L408*H408</f>
        <v>3416110.9375</v>
      </c>
      <c r="N408" s="800"/>
      <c r="O408" s="1127">
        <v>0.98880000000000001</v>
      </c>
      <c r="P408" s="800">
        <f>M408*O408</f>
        <v>3377850.4950000001</v>
      </c>
      <c r="Q408" s="1068">
        <f>M408-P408</f>
        <v>38260.442499999888</v>
      </c>
    </row>
    <row r="409" spans="2:17" ht="15.6" outlineLevel="2">
      <c r="B409" s="793"/>
      <c r="C409" s="848"/>
      <c r="D409" s="794">
        <v>2</v>
      </c>
      <c r="E409" s="812" t="s">
        <v>365</v>
      </c>
      <c r="F409" s="795"/>
      <c r="G409" s="817"/>
      <c r="H409" s="797">
        <f>RAB!H407</f>
        <v>23.75</v>
      </c>
      <c r="I409" s="797" t="str">
        <f>RAB!I407</f>
        <v>M2</v>
      </c>
      <c r="J409" s="797" t="str">
        <f>RAB!J407</f>
        <v>A.4.4.2.4.</v>
      </c>
      <c r="K409" s="804" t="str">
        <f>VLOOKUP(J409,RKPANL!B:D,2,0)</f>
        <v>Pemasangan 1 m2 plesteran 1SP : 4PP tebal 15 mm</v>
      </c>
      <c r="L409" s="800">
        <f>VLOOKUP(J409,RKPANL!B:D,3,0)</f>
        <v>92152.95</v>
      </c>
      <c r="M409" s="1061">
        <f t="shared" si="40"/>
        <v>2188632.5625</v>
      </c>
      <c r="N409" s="800"/>
      <c r="O409" s="1127">
        <v>0.99009999999999998</v>
      </c>
      <c r="P409" s="800">
        <f>M409*O409</f>
        <v>2166965.10013125</v>
      </c>
      <c r="Q409" s="1068">
        <f>M409-P409</f>
        <v>21667.462368750013</v>
      </c>
    </row>
    <row r="410" spans="2:17" ht="15.6" outlineLevel="2">
      <c r="B410" s="793"/>
      <c r="C410" s="848"/>
      <c r="D410" s="794">
        <v>3</v>
      </c>
      <c r="E410" s="812" t="s">
        <v>452</v>
      </c>
      <c r="F410" s="795"/>
      <c r="G410" s="817"/>
      <c r="H410" s="797">
        <f>RAB!H408</f>
        <v>23.75</v>
      </c>
      <c r="I410" s="797" t="str">
        <f>RAB!I408</f>
        <v>M2</v>
      </c>
      <c r="J410" s="797" t="str">
        <f>RAB!J408</f>
        <v>A.4.4.2.27.</v>
      </c>
      <c r="K410" s="804" t="str">
        <f>VLOOKUP(J410,RKPANL!B:D,2,0)</f>
        <v>Pemasangan 1 m2 acian.</v>
      </c>
      <c r="L410" s="800">
        <f>VLOOKUP(J410,RKPANL!B:D,3,0)</f>
        <v>56896.25</v>
      </c>
      <c r="M410" s="1061">
        <f t="shared" si="40"/>
        <v>1351285.9375</v>
      </c>
      <c r="N410" s="800"/>
      <c r="O410" s="1127">
        <v>0.99150000000000005</v>
      </c>
      <c r="P410" s="800">
        <f>M410*O410</f>
        <v>1339800.00703125</v>
      </c>
      <c r="Q410" s="1068">
        <f>M410-P410</f>
        <v>11485.930468749953</v>
      </c>
    </row>
    <row r="411" spans="2:17" ht="15.6" outlineLevel="2">
      <c r="B411" s="793"/>
      <c r="C411" s="848"/>
      <c r="D411" s="794">
        <v>4</v>
      </c>
      <c r="E411" s="795" t="s">
        <v>909</v>
      </c>
      <c r="F411" s="795"/>
      <c r="G411" s="817"/>
      <c r="H411" s="797">
        <f>RAB!H409</f>
        <v>9</v>
      </c>
      <c r="I411" s="797" t="str">
        <f>RAB!I409</f>
        <v>M2</v>
      </c>
      <c r="J411" s="797" t="str">
        <f>RAB!J409</f>
        <v>A.4.4.3.33.A</v>
      </c>
      <c r="K411" s="804" t="str">
        <f>VLOOKUP(J411,RKPANL!B:D,2,0)</f>
        <v>Pemasangan 1m2 lantai granite ukuran 60cm x 60cm</v>
      </c>
      <c r="L411" s="800">
        <f>VLOOKUP(J411,RKPANL!B:D,3,0)</f>
        <v>513423.25</v>
      </c>
      <c r="M411" s="1061">
        <f t="shared" si="40"/>
        <v>4620809.25</v>
      </c>
      <c r="N411" s="800"/>
      <c r="O411" s="1127">
        <v>0.93910000000000005</v>
      </c>
      <c r="P411" s="800">
        <f>M411*O411</f>
        <v>4339401.9666750003</v>
      </c>
      <c r="Q411" s="1068">
        <f>M411-P411</f>
        <v>281407.28332499973</v>
      </c>
    </row>
    <row r="412" spans="2:17" ht="15.6" outlineLevel="2">
      <c r="B412" s="793"/>
      <c r="C412" s="848"/>
      <c r="D412" s="794">
        <v>5</v>
      </c>
      <c r="E412" s="795" t="s">
        <v>910</v>
      </c>
      <c r="F412" s="795"/>
      <c r="G412" s="817"/>
      <c r="H412" s="797">
        <f>RAB!H410</f>
        <v>39</v>
      </c>
      <c r="I412" s="797" t="str">
        <f>RAB!I410</f>
        <v>M2</v>
      </c>
      <c r="J412" s="797" t="str">
        <f>RAB!J410</f>
        <v>A.4.4.3.33.B</v>
      </c>
      <c r="K412" s="804" t="str">
        <f>VLOOKUP(J412,RKPANL!B:D,2,0)</f>
        <v>Pemasangan 1m2 Dinding granite ukuran 60cm x 60cm</v>
      </c>
      <c r="L412" s="800">
        <f>VLOOKUP(J412,RKPANL!B:D,3,0)</f>
        <v>563965.75</v>
      </c>
      <c r="M412" s="1061">
        <f t="shared" si="40"/>
        <v>21994664.25</v>
      </c>
      <c r="N412" s="800"/>
      <c r="O412" s="1127">
        <v>0.93910000000000005</v>
      </c>
      <c r="P412" s="800">
        <f>M412*O412</f>
        <v>20655189.197175</v>
      </c>
      <c r="Q412" s="1068">
        <f>M412-P412</f>
        <v>1339475.0528250001</v>
      </c>
    </row>
    <row r="413" spans="2:17" ht="15.6" outlineLevel="2">
      <c r="B413" s="851"/>
      <c r="C413" s="848"/>
      <c r="D413" s="794"/>
      <c r="E413" s="794"/>
      <c r="F413" s="795"/>
      <c r="G413" s="817"/>
      <c r="H413" s="797"/>
      <c r="I413" s="798"/>
      <c r="J413" s="798"/>
      <c r="K413" s="804"/>
      <c r="L413" s="800"/>
      <c r="M413" s="1061"/>
      <c r="N413" s="800"/>
      <c r="O413" s="841"/>
      <c r="P413" s="800"/>
      <c r="Q413" s="1068"/>
    </row>
    <row r="414" spans="2:17" ht="15.6" outlineLevel="2">
      <c r="B414" s="793"/>
      <c r="C414" s="848" t="s">
        <v>17</v>
      </c>
      <c r="D414" s="696" t="s">
        <v>486</v>
      </c>
      <c r="E414" s="849"/>
      <c r="F414" s="795"/>
      <c r="G414" s="817"/>
      <c r="H414" s="797"/>
      <c r="I414" s="798"/>
      <c r="J414" s="798"/>
      <c r="K414" s="804"/>
      <c r="L414" s="800"/>
      <c r="M414" s="1061"/>
      <c r="N414" s="800"/>
      <c r="O414" s="841"/>
      <c r="P414" s="800"/>
      <c r="Q414" s="1068"/>
    </row>
    <row r="415" spans="2:17" ht="15.6" outlineLevel="2">
      <c r="B415" s="793"/>
      <c r="C415" s="848"/>
      <c r="D415" s="794">
        <v>1</v>
      </c>
      <c r="E415" s="812" t="s">
        <v>696</v>
      </c>
      <c r="F415" s="795"/>
      <c r="G415" s="817"/>
      <c r="H415" s="797">
        <f>RAB!H413</f>
        <v>2</v>
      </c>
      <c r="I415" s="797" t="str">
        <f>RAB!I413</f>
        <v>Unit</v>
      </c>
      <c r="J415" s="797" t="str">
        <f>RAB!J413</f>
        <v>Taksir</v>
      </c>
      <c r="K415" s="804" t="e">
        <f>VLOOKUP(J415,RKPANL!B:D,2,0)</f>
        <v>#N/A</v>
      </c>
      <c r="L415" s="800">
        <f>RAB!L413</f>
        <v>2500000</v>
      </c>
      <c r="M415" s="1061">
        <f>L415*H415</f>
        <v>5000000</v>
      </c>
      <c r="N415" s="800"/>
      <c r="O415" s="1127">
        <v>1</v>
      </c>
      <c r="P415" s="800">
        <f>M415*O415</f>
        <v>5000000</v>
      </c>
      <c r="Q415" s="1068">
        <f>M415-P415</f>
        <v>0</v>
      </c>
    </row>
    <row r="416" spans="2:17" ht="15.6" outlineLevel="2">
      <c r="B416" s="793"/>
      <c r="C416" s="848"/>
      <c r="D416" s="794">
        <v>2</v>
      </c>
      <c r="E416" s="812" t="s">
        <v>697</v>
      </c>
      <c r="F416" s="795"/>
      <c r="G416" s="817"/>
      <c r="H416" s="797">
        <f>RAB!H414</f>
        <v>3</v>
      </c>
      <c r="I416" s="797" t="str">
        <f>RAB!I414</f>
        <v>Unit</v>
      </c>
      <c r="J416" s="797" t="str">
        <f>RAB!J414</f>
        <v>Taksir</v>
      </c>
      <c r="K416" s="804" t="e">
        <f>VLOOKUP(J416,RKPANL!B:D,2,0)</f>
        <v>#N/A</v>
      </c>
      <c r="L416" s="800">
        <f>RAB!L414</f>
        <v>1200000</v>
      </c>
      <c r="M416" s="1061">
        <f>L416*H416</f>
        <v>3600000</v>
      </c>
      <c r="N416" s="800"/>
      <c r="O416" s="1127">
        <v>1</v>
      </c>
      <c r="P416" s="800">
        <f>M416*O416</f>
        <v>3600000</v>
      </c>
      <c r="Q416" s="1068">
        <f>M416-P416</f>
        <v>0</v>
      </c>
    </row>
    <row r="417" spans="1:17" ht="15.6" outlineLevel="2">
      <c r="B417" s="793"/>
      <c r="C417" s="848"/>
      <c r="D417" s="794"/>
      <c r="E417" s="812"/>
      <c r="F417" s="795"/>
      <c r="G417" s="817"/>
      <c r="H417" s="797"/>
      <c r="I417" s="798"/>
      <c r="J417" s="798"/>
      <c r="K417" s="804"/>
      <c r="L417" s="800"/>
      <c r="M417" s="1061"/>
      <c r="N417" s="800"/>
      <c r="O417" s="841"/>
      <c r="P417" s="800"/>
      <c r="Q417" s="1068"/>
    </row>
    <row r="418" spans="1:17" ht="15.6" outlineLevel="2">
      <c r="B418" s="793"/>
      <c r="C418" s="848" t="s">
        <v>18</v>
      </c>
      <c r="D418" s="696" t="s">
        <v>424</v>
      </c>
      <c r="E418" s="849"/>
      <c r="F418" s="795"/>
      <c r="G418" s="817"/>
      <c r="H418" s="797"/>
      <c r="I418" s="798"/>
      <c r="J418" s="798"/>
      <c r="K418" s="804"/>
      <c r="L418" s="800"/>
      <c r="M418" s="1061"/>
      <c r="N418" s="800"/>
      <c r="O418" s="841"/>
      <c r="P418" s="800"/>
      <c r="Q418" s="1068"/>
    </row>
    <row r="419" spans="1:17" ht="15.6" outlineLevel="2">
      <c r="B419" s="793"/>
      <c r="C419" s="848"/>
      <c r="D419" s="794">
        <v>1</v>
      </c>
      <c r="E419" s="812" t="s">
        <v>425</v>
      </c>
      <c r="F419" s="795"/>
      <c r="G419" s="817"/>
      <c r="H419" s="797">
        <f>RAB!H417</f>
        <v>9</v>
      </c>
      <c r="I419" s="797" t="str">
        <f>RAB!I417</f>
        <v>M2</v>
      </c>
      <c r="J419" s="797" t="str">
        <f>RAB!J417</f>
        <v>Hit. PLF.01</v>
      </c>
      <c r="K419" s="804" t="e">
        <f>VLOOKUP(J419,RKPANL!B:D,2,0)</f>
        <v>#N/A</v>
      </c>
      <c r="L419" s="800">
        <f>RAB!L417</f>
        <v>150000</v>
      </c>
      <c r="M419" s="1061">
        <f>L419*H419</f>
        <v>1350000</v>
      </c>
      <c r="N419" s="800"/>
      <c r="O419" s="1127">
        <v>0.83479999999999999</v>
      </c>
      <c r="P419" s="800">
        <f>M419*O419</f>
        <v>1126980</v>
      </c>
      <c r="Q419" s="1068">
        <f>M419-P419</f>
        <v>223020</v>
      </c>
    </row>
    <row r="420" spans="1:17" ht="15.6" outlineLevel="2">
      <c r="B420" s="793"/>
      <c r="C420" s="848"/>
      <c r="D420" s="794">
        <v>2</v>
      </c>
      <c r="E420" s="812" t="s">
        <v>649</v>
      </c>
      <c r="F420" s="795"/>
      <c r="G420" s="817"/>
      <c r="H420" s="797">
        <f>RAB!H418</f>
        <v>8</v>
      </c>
      <c r="I420" s="797" t="str">
        <f>RAB!I418</f>
        <v>M2</v>
      </c>
      <c r="J420" s="797" t="str">
        <f>RAB!J418</f>
        <v>Hit. PL. PVC</v>
      </c>
      <c r="K420" s="804" t="str">
        <f>VLOOKUP(J420,RKPANL!B:D,2,0)</f>
        <v xml:space="preserve">Pemasangan 1 m2 langit-langit Pvc t 8mm </v>
      </c>
      <c r="L420" s="800">
        <f>VLOOKUP(J420,RKPANL!B:D,3,0)</f>
        <v>153475</v>
      </c>
      <c r="M420" s="1061">
        <f>L420*H420</f>
        <v>1227800</v>
      </c>
      <c r="N420" s="800"/>
      <c r="O420" s="1127">
        <v>0.87039999999999995</v>
      </c>
      <c r="P420" s="800">
        <f>M420*O420</f>
        <v>1068677.1199999999</v>
      </c>
      <c r="Q420" s="1068">
        <f>M420-P420</f>
        <v>159122.88000000012</v>
      </c>
    </row>
    <row r="421" spans="1:17" ht="15.6" outlineLevel="2">
      <c r="B421" s="793"/>
      <c r="C421" s="848"/>
      <c r="D421" s="794">
        <v>3</v>
      </c>
      <c r="E421" s="812" t="s">
        <v>463</v>
      </c>
      <c r="F421" s="795"/>
      <c r="G421" s="817"/>
      <c r="H421" s="797">
        <f>RAB!H419</f>
        <v>19.5</v>
      </c>
      <c r="I421" s="797" t="str">
        <f>RAB!I419</f>
        <v>M'</v>
      </c>
      <c r="J421" s="797" t="str">
        <f>RAB!J419</f>
        <v>Hit.  Lis. PVC</v>
      </c>
      <c r="K421" s="804" t="str">
        <f>VLOOKUP(J421,RKPANL!B:D,2,0)</f>
        <v xml:space="preserve">Pemasangan 1 m' List plafond PVC </v>
      </c>
      <c r="L421" s="800">
        <f>VLOOKUP(J421,RKPANL!B:D,3,0)</f>
        <v>44020.75</v>
      </c>
      <c r="M421" s="1061">
        <f>L421*H421</f>
        <v>858404.625</v>
      </c>
      <c r="N421" s="800"/>
      <c r="O421" s="1127">
        <v>0.94579999999999997</v>
      </c>
      <c r="P421" s="800">
        <f>M421*O421</f>
        <v>811879.09432499995</v>
      </c>
      <c r="Q421" s="1068">
        <f>M421-P421</f>
        <v>46525.530675000045</v>
      </c>
    </row>
    <row r="422" spans="1:17" ht="15.6" outlineLevel="2">
      <c r="B422" s="851"/>
      <c r="C422" s="848"/>
      <c r="D422" s="794"/>
      <c r="E422" s="794"/>
      <c r="F422" s="795"/>
      <c r="G422" s="817"/>
      <c r="H422" s="797"/>
      <c r="I422" s="798"/>
      <c r="J422" s="798"/>
      <c r="K422" s="804"/>
      <c r="L422" s="800"/>
      <c r="M422" s="1061"/>
      <c r="N422" s="800"/>
      <c r="O422" s="841"/>
      <c r="P422" s="800"/>
      <c r="Q422" s="1068"/>
    </row>
    <row r="423" spans="1:17" ht="15.6" outlineLevel="2">
      <c r="B423" s="793"/>
      <c r="C423" s="848" t="s">
        <v>19</v>
      </c>
      <c r="D423" s="696" t="s">
        <v>467</v>
      </c>
      <c r="E423" s="849"/>
      <c r="F423" s="795"/>
      <c r="G423" s="817"/>
      <c r="H423" s="797"/>
      <c r="I423" s="798"/>
      <c r="J423" s="798"/>
      <c r="K423" s="804"/>
      <c r="L423" s="800"/>
      <c r="M423" s="1061"/>
      <c r="N423" s="800"/>
      <c r="O423" s="841"/>
      <c r="P423" s="800"/>
      <c r="Q423" s="1068"/>
    </row>
    <row r="424" spans="1:17" ht="15.6" outlineLevel="2">
      <c r="A424" s="812" t="s">
        <v>475</v>
      </c>
      <c r="B424" s="793"/>
      <c r="C424" s="848"/>
      <c r="D424" s="794">
        <v>1</v>
      </c>
      <c r="E424" s="812" t="s">
        <v>475</v>
      </c>
      <c r="F424" s="795"/>
      <c r="G424" s="817"/>
      <c r="H424" s="797">
        <f>RAB!H422</f>
        <v>1</v>
      </c>
      <c r="I424" s="797" t="str">
        <f>RAB!I422</f>
        <v>Unit</v>
      </c>
      <c r="J424" s="797" t="str">
        <f>RAB!J422</f>
        <v>A.5.1.1.1.</v>
      </c>
      <c r="K424" s="804" t="str">
        <f>VLOOKUP(J424,RKPANL!B:D,2,0)</f>
        <v>Pemasangan 1 buah closet duduk/monoblock</v>
      </c>
      <c r="L424" s="800">
        <f>VLOOKUP(J424,RKPANL!B:D,3,0)</f>
        <v>5594750</v>
      </c>
      <c r="M424" s="1061">
        <f t="shared" ref="M424:M431" si="41">L424*H424</f>
        <v>5594750</v>
      </c>
      <c r="N424" s="800"/>
      <c r="O424" s="1127">
        <v>0.53490000000000004</v>
      </c>
      <c r="P424" s="800">
        <f t="shared" ref="P424:P431" si="42">M424*O424</f>
        <v>2992631.7750000004</v>
      </c>
      <c r="Q424" s="1068">
        <f t="shared" ref="Q424:Q431" si="43">M424-P424</f>
        <v>2602118.2249999996</v>
      </c>
    </row>
    <row r="425" spans="1:17" ht="15.6" outlineLevel="2">
      <c r="A425" s="812" t="s">
        <v>474</v>
      </c>
      <c r="B425" s="793"/>
      <c r="C425" s="848"/>
      <c r="D425" s="794">
        <v>2</v>
      </c>
      <c r="E425" s="812" t="s">
        <v>474</v>
      </c>
      <c r="F425" s="795"/>
      <c r="G425" s="817"/>
      <c r="H425" s="797">
        <f>RAB!H423</f>
        <v>1</v>
      </c>
      <c r="I425" s="797" t="str">
        <f>RAB!I423</f>
        <v>Unit</v>
      </c>
      <c r="J425" s="797" t="str">
        <f>RAB!J423</f>
        <v>A.5.1.1 5.</v>
      </c>
      <c r="K425" s="804" t="str">
        <f>VLOOKUP(J425,RKPANL!B:D,2,0)</f>
        <v>Pemasangan 1 buah wastafel</v>
      </c>
      <c r="L425" s="800">
        <f>VLOOKUP(J425,RKPANL!B:D,3,0)</f>
        <v>2767705</v>
      </c>
      <c r="M425" s="1061">
        <f t="shared" si="41"/>
        <v>2767705</v>
      </c>
      <c r="N425" s="800"/>
      <c r="O425" s="1127">
        <v>0.74150000000000005</v>
      </c>
      <c r="P425" s="800">
        <f t="shared" si="42"/>
        <v>2052253.2575000001</v>
      </c>
      <c r="Q425" s="1068">
        <f t="shared" si="43"/>
        <v>715451.74249999993</v>
      </c>
    </row>
    <row r="426" spans="1:17" ht="15.6" outlineLevel="2">
      <c r="A426" s="812" t="s">
        <v>470</v>
      </c>
      <c r="B426" s="793"/>
      <c r="C426" s="848"/>
      <c r="D426" s="794">
        <v>3</v>
      </c>
      <c r="E426" s="812" t="s">
        <v>470</v>
      </c>
      <c r="F426" s="795"/>
      <c r="G426" s="817"/>
      <c r="H426" s="797">
        <f>RAB!H424</f>
        <v>1</v>
      </c>
      <c r="I426" s="797" t="str">
        <f>RAB!I424</f>
        <v>Unit</v>
      </c>
      <c r="J426" s="797" t="str">
        <f>RAB!J424</f>
        <v>A.5.1.1 6.</v>
      </c>
      <c r="K426" s="804" t="str">
        <f>VLOOKUP(J426,RKPANL!B:D,2,0)</f>
        <v>Pemasangan 1 buah Urinoir</v>
      </c>
      <c r="L426" s="800">
        <f>VLOOKUP(J426,RKPANL!B:D,3,0)</f>
        <v>4285705</v>
      </c>
      <c r="M426" s="1061">
        <f t="shared" si="41"/>
        <v>4285705</v>
      </c>
      <c r="N426" s="800"/>
      <c r="O426" s="1127">
        <v>0.65259999999999996</v>
      </c>
      <c r="P426" s="800">
        <f t="shared" si="42"/>
        <v>2796851.0829999996</v>
      </c>
      <c r="Q426" s="1068">
        <f t="shared" si="43"/>
        <v>1488853.9170000004</v>
      </c>
    </row>
    <row r="427" spans="1:17" ht="15.6" outlineLevel="2">
      <c r="A427" s="812" t="s">
        <v>418</v>
      </c>
      <c r="B427" s="793"/>
      <c r="C427" s="848"/>
      <c r="D427" s="794">
        <v>4</v>
      </c>
      <c r="E427" s="812" t="s">
        <v>418</v>
      </c>
      <c r="F427" s="795"/>
      <c r="G427" s="817"/>
      <c r="H427" s="797">
        <f>RAB!H425</f>
        <v>1</v>
      </c>
      <c r="I427" s="797" t="str">
        <f>RAB!I425</f>
        <v>Unit</v>
      </c>
      <c r="J427" s="797" t="str">
        <f>RAB!J425</f>
        <v>A.5.1.1.14.</v>
      </c>
      <c r="K427" s="804" t="str">
        <f>VLOOKUP(J427,RKPANL!B:D,2,0)</f>
        <v>Pemasangan 1 buah floor drain</v>
      </c>
      <c r="L427" s="800">
        <f>VLOOKUP(J427,RKPANL!B:D,3,0)</f>
        <v>161028.75</v>
      </c>
      <c r="M427" s="1061">
        <f t="shared" si="41"/>
        <v>161028.75</v>
      </c>
      <c r="N427" s="800"/>
      <c r="O427" s="1127">
        <v>0.60099999999999998</v>
      </c>
      <c r="P427" s="800">
        <f t="shared" si="42"/>
        <v>96778.278749999998</v>
      </c>
      <c r="Q427" s="1068">
        <f t="shared" si="43"/>
        <v>64250.471250000002</v>
      </c>
    </row>
    <row r="428" spans="1:17" ht="15.6" outlineLevel="2">
      <c r="A428" s="812" t="s">
        <v>471</v>
      </c>
      <c r="B428" s="793"/>
      <c r="C428" s="848"/>
      <c r="D428" s="794">
        <v>5</v>
      </c>
      <c r="E428" s="812" t="s">
        <v>471</v>
      </c>
      <c r="F428" s="795"/>
      <c r="G428" s="817"/>
      <c r="H428" s="797">
        <f>RAB!H426</f>
        <v>2</v>
      </c>
      <c r="I428" s="797" t="str">
        <f>RAB!I426</f>
        <v>Bh</v>
      </c>
      <c r="J428" s="797" t="str">
        <f>RAB!J426</f>
        <v>Hit. SAN. 04</v>
      </c>
      <c r="K428" s="804" t="str">
        <f>VLOOKUP(J428,RKPANL!B:D,2,0)</f>
        <v>Pemasangan 1 buah Tempat Sabun</v>
      </c>
      <c r="L428" s="800">
        <f>VLOOKUP(J428,RKPANL!B:D,3,0)</f>
        <v>256593.75</v>
      </c>
      <c r="M428" s="1061">
        <f t="shared" si="41"/>
        <v>513187.5</v>
      </c>
      <c r="N428" s="800"/>
      <c r="O428" s="1127">
        <v>1</v>
      </c>
      <c r="P428" s="800">
        <f t="shared" si="42"/>
        <v>513187.5</v>
      </c>
      <c r="Q428" s="1068">
        <f t="shared" si="43"/>
        <v>0</v>
      </c>
    </row>
    <row r="429" spans="1:17" ht="15.6" outlineLevel="2">
      <c r="A429" s="812" t="s">
        <v>472</v>
      </c>
      <c r="B429" s="793"/>
      <c r="C429" s="848"/>
      <c r="D429" s="794">
        <v>6</v>
      </c>
      <c r="E429" s="812" t="s">
        <v>472</v>
      </c>
      <c r="F429" s="795"/>
      <c r="G429" s="817"/>
      <c r="H429" s="797">
        <f>RAB!H427</f>
        <v>1</v>
      </c>
      <c r="I429" s="797" t="str">
        <f>RAB!I427</f>
        <v>Set</v>
      </c>
      <c r="J429" s="797" t="str">
        <f>RAB!J427</f>
        <v>Hit. SAN. 01</v>
      </c>
      <c r="K429" s="804" t="str">
        <f>VLOOKUP(J429,RKPANL!B:D,2,0)</f>
        <v>Pemasangan 1 buah Shower Kran Bidet</v>
      </c>
      <c r="L429" s="800">
        <f>VLOOKUP(J429,RKPANL!B:D,3,0)</f>
        <v>268093.75</v>
      </c>
      <c r="M429" s="1061">
        <f t="shared" si="41"/>
        <v>268093.75</v>
      </c>
      <c r="N429" s="800"/>
      <c r="O429" s="1127">
        <v>0.39439999999999997</v>
      </c>
      <c r="P429" s="800">
        <f t="shared" si="42"/>
        <v>105736.17499999999</v>
      </c>
      <c r="Q429" s="1068">
        <f t="shared" si="43"/>
        <v>162357.57500000001</v>
      </c>
    </row>
    <row r="430" spans="1:17" ht="15.6" outlineLevel="2">
      <c r="A430" s="856" t="s">
        <v>416</v>
      </c>
      <c r="B430" s="793"/>
      <c r="C430" s="848"/>
      <c r="D430" s="794">
        <v>7</v>
      </c>
      <c r="E430" s="812" t="s">
        <v>714</v>
      </c>
      <c r="F430" s="795"/>
      <c r="G430" s="817"/>
      <c r="H430" s="797">
        <f>RAB!H428</f>
        <v>1</v>
      </c>
      <c r="I430" s="797" t="str">
        <f>RAB!I428</f>
        <v>Set</v>
      </c>
      <c r="J430" s="797" t="str">
        <f>RAB!J428</f>
        <v>Hit. SAN. 03</v>
      </c>
      <c r="K430" s="804" t="str">
        <f>VLOOKUP(J430,RKPANL!B:D,2,0)</f>
        <v>Pemasangan 1 buah Stop Kran Ball Valve 1"</v>
      </c>
      <c r="L430" s="800">
        <f>VLOOKUP(J430,RKPANL!B:D,3,0)</f>
        <v>383093.75</v>
      </c>
      <c r="M430" s="1061">
        <f t="shared" si="41"/>
        <v>383093.75</v>
      </c>
      <c r="N430" s="800"/>
      <c r="O430" s="1127">
        <v>0.39439999999999997</v>
      </c>
      <c r="P430" s="800">
        <f t="shared" si="42"/>
        <v>151092.17499999999</v>
      </c>
      <c r="Q430" s="1068">
        <f t="shared" si="43"/>
        <v>232001.57500000001</v>
      </c>
    </row>
    <row r="431" spans="1:17" ht="15.6" outlineLevel="2">
      <c r="B431" s="793"/>
      <c r="C431" s="848"/>
      <c r="D431" s="794">
        <v>8</v>
      </c>
      <c r="E431" s="856" t="s">
        <v>416</v>
      </c>
      <c r="F431" s="795"/>
      <c r="G431" s="817"/>
      <c r="H431" s="797">
        <f>RAB!H429</f>
        <v>1</v>
      </c>
      <c r="I431" s="797" t="str">
        <f>RAB!I429</f>
        <v>Set</v>
      </c>
      <c r="J431" s="797" t="str">
        <f>RAB!J429</f>
        <v>A.5.1.1.19.</v>
      </c>
      <c r="K431" s="804" t="str">
        <f>VLOOKUP(J431,RKPANL!B:D,2,0)</f>
        <v>Pemasangan 1 buah kran diameter ½” atau ¾ ”</v>
      </c>
      <c r="L431" s="800">
        <f>VLOOKUP(J431,RKPANL!B:D,3,0)</f>
        <v>141881.25</v>
      </c>
      <c r="M431" s="1061">
        <f t="shared" si="41"/>
        <v>141881.25</v>
      </c>
      <c r="N431" s="800"/>
      <c r="O431" s="1127">
        <v>0.98880000000000001</v>
      </c>
      <c r="P431" s="800">
        <f t="shared" si="42"/>
        <v>140292.18</v>
      </c>
      <c r="Q431" s="1068">
        <f t="shared" si="43"/>
        <v>1589.070000000007</v>
      </c>
    </row>
    <row r="432" spans="1:17" ht="15.6" outlineLevel="2">
      <c r="B432" s="851"/>
      <c r="C432" s="848"/>
      <c r="D432" s="794"/>
      <c r="E432" s="794"/>
      <c r="F432" s="795"/>
      <c r="G432" s="817"/>
      <c r="H432" s="797"/>
      <c r="I432" s="798"/>
      <c r="J432" s="798"/>
      <c r="K432" s="804"/>
      <c r="L432" s="800"/>
      <c r="M432" s="1061"/>
      <c r="N432" s="800"/>
      <c r="O432" s="841"/>
      <c r="P432" s="800"/>
      <c r="Q432" s="1068"/>
    </row>
    <row r="433" spans="2:17" ht="15.6" outlineLevel="2">
      <c r="B433" s="793"/>
      <c r="C433" s="848" t="s">
        <v>404</v>
      </c>
      <c r="D433" s="696" t="s">
        <v>289</v>
      </c>
      <c r="E433" s="849"/>
      <c r="F433" s="795"/>
      <c r="G433" s="817"/>
      <c r="H433" s="797"/>
      <c r="I433" s="798"/>
      <c r="J433" s="798"/>
      <c r="K433" s="804"/>
      <c r="L433" s="800"/>
      <c r="M433" s="1061"/>
      <c r="N433" s="800"/>
      <c r="O433" s="841"/>
      <c r="P433" s="800"/>
      <c r="Q433" s="1068"/>
    </row>
    <row r="434" spans="2:17" outlineLevel="2">
      <c r="B434" s="793"/>
      <c r="C434" s="802"/>
      <c r="D434" s="850">
        <v>1</v>
      </c>
      <c r="E434" s="845" t="s">
        <v>900</v>
      </c>
      <c r="F434" s="795"/>
      <c r="G434" s="796"/>
      <c r="H434" s="797">
        <f>RAB!H432</f>
        <v>3</v>
      </c>
      <c r="I434" s="797" t="str">
        <f>RAB!I432</f>
        <v>Titik</v>
      </c>
      <c r="J434" s="797" t="str">
        <f>RAB!J432</f>
        <v>Hit. EL.1</v>
      </c>
      <c r="K434" s="804" t="str">
        <f>VLOOKUP(J434,RKPANL!B:D,2,0)</f>
        <v>Pasang 1 Titik Instalasi Penerangan dan Stop Kontak dengan Kabel NYA 2x2,5 mm</v>
      </c>
      <c r="L434" s="800">
        <f>VLOOKUP(J434,RKPANL!B:D,3,0)</f>
        <v>232084.375</v>
      </c>
      <c r="M434" s="1061">
        <f>L434*H434</f>
        <v>696253.125</v>
      </c>
      <c r="N434" s="800"/>
      <c r="O434" s="1127">
        <v>0.95079999999999998</v>
      </c>
      <c r="P434" s="800">
        <f>M434*O434</f>
        <v>661997.47124999994</v>
      </c>
      <c r="Q434" s="1068">
        <f>M434-P434</f>
        <v>34255.653750000056</v>
      </c>
    </row>
    <row r="435" spans="2:17" ht="15.6" outlineLevel="2">
      <c r="B435" s="793"/>
      <c r="C435" s="848"/>
      <c r="D435" s="794">
        <v>2</v>
      </c>
      <c r="E435" s="845" t="s">
        <v>842</v>
      </c>
      <c r="F435" s="795"/>
      <c r="G435" s="817"/>
      <c r="H435" s="797">
        <f>RAB!H433</f>
        <v>3</v>
      </c>
      <c r="I435" s="797" t="str">
        <f>RAB!I433</f>
        <v>Unit</v>
      </c>
      <c r="J435" s="797" t="str">
        <f>RAB!J433</f>
        <v>Hit. EL.7</v>
      </c>
      <c r="K435" s="804" t="str">
        <f>VLOOKUP(J435,RKPANL!B:D,2,0)</f>
        <v>Pasang 1 buah Lampu LED 7 watt + Fitting Down Light</v>
      </c>
      <c r="L435" s="800">
        <f>VLOOKUP(J435,RKPANL!B:D,3,0)</f>
        <v>121813.75</v>
      </c>
      <c r="M435" s="1061">
        <f>L435*H435</f>
        <v>365441.25</v>
      </c>
      <c r="N435" s="800"/>
      <c r="O435" s="1127">
        <v>1</v>
      </c>
      <c r="P435" s="800">
        <f>M435*O435</f>
        <v>365441.25</v>
      </c>
      <c r="Q435" s="1068">
        <f>M435-P435</f>
        <v>0</v>
      </c>
    </row>
    <row r="436" spans="2:17" ht="15.6" outlineLevel="2">
      <c r="B436" s="793"/>
      <c r="C436" s="848"/>
      <c r="D436" s="794">
        <v>3</v>
      </c>
      <c r="E436" s="812" t="s">
        <v>731</v>
      </c>
      <c r="F436" s="795"/>
      <c r="G436" s="817"/>
      <c r="H436" s="797">
        <f>RAB!H434</f>
        <v>1</v>
      </c>
      <c r="I436" s="797" t="str">
        <f>RAB!I434</f>
        <v>Set</v>
      </c>
      <c r="J436" s="797" t="str">
        <f>RAB!J434</f>
        <v>Hit. EL.3</v>
      </c>
      <c r="K436" s="804" t="str">
        <f>VLOOKUP(J436,RKPANL!B:D,2,0)</f>
        <v>Pasang 1 Set Saklar Tunggal</v>
      </c>
      <c r="L436" s="800">
        <f>VLOOKUP(J436,RKPANL!B:D,3,0)</f>
        <v>88463.75</v>
      </c>
      <c r="M436" s="1061">
        <f>L436*H436</f>
        <v>88463.75</v>
      </c>
      <c r="N436" s="800"/>
      <c r="O436" s="1127">
        <v>0.66590000000000005</v>
      </c>
      <c r="P436" s="800">
        <f>M436*O436</f>
        <v>58908.011125000005</v>
      </c>
      <c r="Q436" s="1068">
        <f>M436-P436</f>
        <v>29555.738874999995</v>
      </c>
    </row>
    <row r="437" spans="2:17" ht="15.6" outlineLevel="2">
      <c r="B437" s="793"/>
      <c r="C437" s="848"/>
      <c r="D437" s="794">
        <v>4</v>
      </c>
      <c r="E437" s="826" t="s">
        <v>732</v>
      </c>
      <c r="F437" s="795"/>
      <c r="G437" s="817"/>
      <c r="H437" s="797">
        <f>RAB!H435</f>
        <v>1</v>
      </c>
      <c r="I437" s="797" t="str">
        <f>RAB!I435</f>
        <v>Set</v>
      </c>
      <c r="J437" s="797" t="str">
        <f>RAB!J435</f>
        <v>Hit. EL.4</v>
      </c>
      <c r="K437" s="804" t="str">
        <f>VLOOKUP(J437,RKPANL!B:D,2,0)</f>
        <v>Pasang 1 Set Saklar Ganda</v>
      </c>
      <c r="L437" s="800">
        <f>VLOOKUP(J437,RKPANL!B:D,3,0)</f>
        <v>105713.75</v>
      </c>
      <c r="M437" s="1061">
        <f>L437*H437</f>
        <v>105713.75</v>
      </c>
      <c r="N437" s="800"/>
      <c r="O437" s="1127">
        <v>0.58850000000000002</v>
      </c>
      <c r="P437" s="800">
        <f>M437*O437</f>
        <v>62212.541875000003</v>
      </c>
      <c r="Q437" s="1068">
        <f>M437-P437</f>
        <v>43501.208124999997</v>
      </c>
    </row>
    <row r="438" spans="2:17" ht="15.6" outlineLevel="2">
      <c r="B438" s="851"/>
      <c r="C438" s="848"/>
      <c r="D438" s="794"/>
      <c r="E438" s="794"/>
      <c r="F438" s="795"/>
      <c r="G438" s="817"/>
      <c r="H438" s="797"/>
      <c r="I438" s="798"/>
      <c r="J438" s="798"/>
      <c r="K438" s="804"/>
      <c r="L438" s="800"/>
      <c r="M438" s="1061"/>
      <c r="N438" s="800"/>
      <c r="O438" s="841"/>
      <c r="P438" s="800"/>
      <c r="Q438" s="1068"/>
    </row>
    <row r="439" spans="2:17" ht="15.6" outlineLevel="2">
      <c r="B439" s="793"/>
      <c r="C439" s="848" t="s">
        <v>560</v>
      </c>
      <c r="D439" s="696" t="s">
        <v>634</v>
      </c>
      <c r="E439" s="849"/>
      <c r="F439" s="795"/>
      <c r="G439" s="817"/>
      <c r="H439" s="797"/>
      <c r="I439" s="798"/>
      <c r="J439" s="798"/>
      <c r="K439" s="804"/>
      <c r="L439" s="800"/>
      <c r="M439" s="1061"/>
      <c r="N439" s="800"/>
      <c r="O439" s="841"/>
      <c r="P439" s="800"/>
      <c r="Q439" s="1068"/>
    </row>
    <row r="440" spans="2:17" ht="15.6" outlineLevel="2">
      <c r="B440" s="793"/>
      <c r="C440" s="848"/>
      <c r="D440" s="794">
        <v>1</v>
      </c>
      <c r="E440" s="812" t="s">
        <v>476</v>
      </c>
      <c r="F440" s="795"/>
      <c r="G440" s="817"/>
      <c r="H440" s="797">
        <f>RAB!H438</f>
        <v>12</v>
      </c>
      <c r="I440" s="797" t="str">
        <f>RAB!I438</f>
        <v>M'</v>
      </c>
      <c r="J440" s="797" t="str">
        <f>RAB!J438</f>
        <v>A.5.1.1 25.</v>
      </c>
      <c r="K440" s="804" t="str">
        <f>VLOOKUP(J440,RKPANL!B:D,2,0)</f>
        <v>Pemasangan 1 m’ pipa PVC tipe AW diameter ½ ”</v>
      </c>
      <c r="L440" s="800">
        <f>VLOOKUP(J440,RKPANL!B:D,3,0)</f>
        <v>41465.166666666672</v>
      </c>
      <c r="M440" s="1061">
        <f>L440*H440</f>
        <v>497582.00000000006</v>
      </c>
      <c r="N440" s="800"/>
      <c r="O440" s="1127">
        <v>0.72660000000000002</v>
      </c>
      <c r="P440" s="800">
        <f>M440*O440</f>
        <v>361543.08120000007</v>
      </c>
      <c r="Q440" s="1068">
        <f>M440-P440</f>
        <v>136038.91879999998</v>
      </c>
    </row>
    <row r="441" spans="2:17" ht="15.6" outlineLevel="2">
      <c r="B441" s="793"/>
      <c r="C441" s="848"/>
      <c r="D441" s="794">
        <v>2</v>
      </c>
      <c r="E441" s="812" t="s">
        <v>477</v>
      </c>
      <c r="F441" s="795"/>
      <c r="G441" s="817"/>
      <c r="H441" s="797">
        <f>RAB!H439</f>
        <v>12</v>
      </c>
      <c r="I441" s="797" t="str">
        <f>RAB!I439</f>
        <v>M'</v>
      </c>
      <c r="J441" s="797" t="str">
        <f>RAB!J439</f>
        <v>A.5.1.1 27.</v>
      </c>
      <c r="K441" s="804" t="str">
        <f>VLOOKUP(J441,RKPANL!B:D,2,0)</f>
        <v>Pemasangan 1 m’ pipa PVC tipe AW diameter 1”</v>
      </c>
      <c r="L441" s="800">
        <f>VLOOKUP(J441,RKPANL!B:D,3,0)</f>
        <v>44372.75</v>
      </c>
      <c r="M441" s="1061">
        <f>L441*H441</f>
        <v>532473</v>
      </c>
      <c r="N441" s="800"/>
      <c r="O441" s="1127">
        <v>0.72660000000000002</v>
      </c>
      <c r="P441" s="800">
        <f>M441*O441</f>
        <v>386894.88180000003</v>
      </c>
      <c r="Q441" s="1068">
        <f>M441-P441</f>
        <v>145578.11819999997</v>
      </c>
    </row>
    <row r="442" spans="2:17" ht="15.6" outlineLevel="2">
      <c r="B442" s="793"/>
      <c r="C442" s="848"/>
      <c r="D442" s="794">
        <v>3</v>
      </c>
      <c r="E442" s="812" t="s">
        <v>478</v>
      </c>
      <c r="F442" s="795"/>
      <c r="G442" s="817"/>
      <c r="H442" s="797">
        <f>RAB!H440</f>
        <v>12</v>
      </c>
      <c r="I442" s="797" t="str">
        <f>RAB!I440</f>
        <v>M'</v>
      </c>
      <c r="J442" s="797" t="str">
        <f>RAB!J440</f>
        <v>A.5.1.1 29.</v>
      </c>
      <c r="K442" s="804" t="str">
        <f>VLOOKUP(J442,RKPANL!B:D,2,0)</f>
        <v>Pemasangan 1 m’ pipa PVC tipe AW diameter 2”</v>
      </c>
      <c r="L442" s="800">
        <f>VLOOKUP(J442,RKPANL!B:D,3,0)</f>
        <v>71110.25</v>
      </c>
      <c r="M442" s="1061">
        <f>L442*H442</f>
        <v>853323</v>
      </c>
      <c r="N442" s="800"/>
      <c r="O442" s="1127">
        <v>0.72660000000000002</v>
      </c>
      <c r="P442" s="800">
        <f>M442*O442</f>
        <v>620024.49180000008</v>
      </c>
      <c r="Q442" s="1068">
        <f>M442-P442</f>
        <v>233298.50819999992</v>
      </c>
    </row>
    <row r="443" spans="2:17" ht="15.6" outlineLevel="2">
      <c r="B443" s="793"/>
      <c r="C443" s="848"/>
      <c r="D443" s="794">
        <v>4</v>
      </c>
      <c r="E443" s="812" t="s">
        <v>698</v>
      </c>
      <c r="F443" s="795"/>
      <c r="G443" s="817"/>
      <c r="H443" s="797">
        <f>RAB!H441</f>
        <v>12</v>
      </c>
      <c r="I443" s="797" t="str">
        <f>RAB!I441</f>
        <v>M'</v>
      </c>
      <c r="J443" s="797" t="str">
        <f>RAB!J441</f>
        <v>A.5.1.1 31.</v>
      </c>
      <c r="K443" s="804" t="str">
        <f>VLOOKUP(J443,RKPANL!B:D,2,0)</f>
        <v>Pemasangan 1 m’ pipa PVC tipe AW diameter 3”</v>
      </c>
      <c r="L443" s="800">
        <f>VLOOKUP(J443,RKPANL!B:D,3,0)</f>
        <v>100818.58333333333</v>
      </c>
      <c r="M443" s="1061">
        <f>L443*H443</f>
        <v>1209823</v>
      </c>
      <c r="N443" s="800"/>
      <c r="O443" s="1127">
        <v>0.72660000000000002</v>
      </c>
      <c r="P443" s="800">
        <f>M443*O443</f>
        <v>879057.39179999998</v>
      </c>
      <c r="Q443" s="1068">
        <f>M443-P443</f>
        <v>330765.60820000002</v>
      </c>
    </row>
    <row r="444" spans="2:17" ht="15.6" outlineLevel="2">
      <c r="B444" s="793"/>
      <c r="C444" s="848"/>
      <c r="D444" s="794">
        <v>5</v>
      </c>
      <c r="E444" s="812" t="s">
        <v>479</v>
      </c>
      <c r="F444" s="795"/>
      <c r="G444" s="817"/>
      <c r="H444" s="797">
        <f>RAB!H442</f>
        <v>1</v>
      </c>
      <c r="I444" s="797" t="str">
        <f>RAB!I442</f>
        <v>Unit</v>
      </c>
      <c r="J444" s="797" t="str">
        <f>RAB!J442</f>
        <v>Taksir</v>
      </c>
      <c r="K444" s="804" t="e">
        <f>VLOOKUP(J444,RKPANL!B:D,2,0)</f>
        <v>#N/A</v>
      </c>
      <c r="L444" s="800">
        <f>RAB!L442</f>
        <v>500000</v>
      </c>
      <c r="M444" s="1061">
        <f>L444*H444</f>
        <v>500000</v>
      </c>
      <c r="N444" s="800"/>
      <c r="O444" s="1127">
        <v>1</v>
      </c>
      <c r="P444" s="800">
        <f>M444*O444</f>
        <v>500000</v>
      </c>
      <c r="Q444" s="1068">
        <f>M444-P444</f>
        <v>0</v>
      </c>
    </row>
    <row r="445" spans="2:17" ht="15.6" outlineLevel="2">
      <c r="B445" s="851"/>
      <c r="C445" s="848"/>
      <c r="D445" s="794"/>
      <c r="E445" s="794"/>
      <c r="F445" s="795"/>
      <c r="G445" s="817"/>
      <c r="H445" s="797"/>
      <c r="I445" s="798"/>
      <c r="J445" s="798"/>
      <c r="K445" s="804"/>
      <c r="L445" s="800"/>
      <c r="M445" s="1061"/>
      <c r="N445" s="800"/>
      <c r="O445" s="841"/>
      <c r="P445" s="800"/>
      <c r="Q445" s="1068"/>
    </row>
    <row r="446" spans="2:17" ht="15.6" outlineLevel="2">
      <c r="B446" s="793"/>
      <c r="C446" s="848" t="s">
        <v>568</v>
      </c>
      <c r="D446" s="696" t="s">
        <v>422</v>
      </c>
      <c r="E446" s="849"/>
      <c r="F446" s="795"/>
      <c r="G446" s="817"/>
      <c r="H446" s="797"/>
      <c r="I446" s="798"/>
      <c r="J446" s="798"/>
      <c r="K446" s="804"/>
      <c r="L446" s="800"/>
      <c r="M446" s="1061"/>
      <c r="N446" s="800"/>
      <c r="O446" s="841"/>
      <c r="P446" s="800"/>
      <c r="Q446" s="1068"/>
    </row>
    <row r="447" spans="2:17" ht="15.6" outlineLevel="2">
      <c r="B447" s="793"/>
      <c r="C447" s="848"/>
      <c r="D447" s="794">
        <v>1</v>
      </c>
      <c r="E447" s="812" t="s">
        <v>919</v>
      </c>
      <c r="F447" s="795"/>
      <c r="G447" s="817"/>
      <c r="H447" s="797">
        <f>RAB!H445</f>
        <v>48</v>
      </c>
      <c r="I447" s="797" t="str">
        <f>RAB!I445</f>
        <v>M2</v>
      </c>
      <c r="J447" s="797" t="str">
        <f>RAB!J445</f>
        <v>A.4.7.1.10.</v>
      </c>
      <c r="K447" s="804" t="str">
        <f>VLOOKUP(J447,RKPANL!B:D,2,0)</f>
        <v>Pengecatan 1 m2 tembok baru (1 lapis plamuur, 1 lapis cat dasar, 2
lapis cat penutup)</v>
      </c>
      <c r="L447" s="800">
        <f>VLOOKUP(J447,RKPANL!B:D,3,0)</f>
        <v>55114.9</v>
      </c>
      <c r="M447" s="1061">
        <f>L447*H447</f>
        <v>2645515.2000000002</v>
      </c>
      <c r="N447" s="800"/>
      <c r="O447" s="1127">
        <v>0.70269999999999999</v>
      </c>
      <c r="P447" s="800">
        <f>M447*O447</f>
        <v>1859003.53104</v>
      </c>
      <c r="Q447" s="1068">
        <f>M447-P447</f>
        <v>786511.66896000016</v>
      </c>
    </row>
    <row r="448" spans="2:17" ht="15.6" outlineLevel="2">
      <c r="B448" s="857"/>
      <c r="C448" s="858"/>
      <c r="D448" s="859"/>
      <c r="E448" s="768"/>
      <c r="G448" s="860"/>
      <c r="H448" s="861"/>
      <c r="I448" s="771"/>
      <c r="K448" s="862"/>
      <c r="L448" s="863"/>
      <c r="M448" s="1064"/>
      <c r="N448" s="863"/>
      <c r="O448" s="1125"/>
      <c r="P448" s="863"/>
      <c r="Q448" s="1071"/>
    </row>
    <row r="449" spans="2:19" ht="15.6" outlineLevel="1">
      <c r="B449" s="1093"/>
      <c r="C449" s="1094"/>
      <c r="D449" s="1094"/>
      <c r="E449" s="1094"/>
      <c r="F449" s="1094"/>
      <c r="G449" s="1094"/>
      <c r="H449" s="1095"/>
      <c r="I449" s="1094"/>
      <c r="J449" s="1094"/>
      <c r="K449" s="1095"/>
      <c r="L449" s="1099"/>
      <c r="M449" s="1100" t="s">
        <v>863</v>
      </c>
      <c r="N449" s="1096">
        <f>SUM(M399:M447)</f>
        <v>75146634.053288877</v>
      </c>
      <c r="O449" s="1123"/>
      <c r="P449" s="1096">
        <f t="shared" ref="P449:Q449" si="44">SUM(P399:P448)</f>
        <v>65000256.108515628</v>
      </c>
      <c r="Q449" s="1101">
        <f t="shared" si="44"/>
        <v>10146377.944773238</v>
      </c>
    </row>
    <row r="450" spans="2:19" s="1098" customFormat="1" ht="21.6" customHeight="1">
      <c r="B450" s="1115"/>
      <c r="C450" s="1104"/>
      <c r="D450" s="1104"/>
      <c r="E450" s="1104"/>
      <c r="F450" s="1104"/>
      <c r="G450" s="1104"/>
      <c r="H450" s="1104"/>
      <c r="I450" s="1104"/>
      <c r="J450" s="1104"/>
      <c r="K450" s="1272" t="s">
        <v>363</v>
      </c>
      <c r="L450" s="1272"/>
      <c r="M450" s="1105"/>
      <c r="N450" s="1106">
        <f>SUM(N379:N449)</f>
        <v>116515543.22828887</v>
      </c>
      <c r="O450" s="1124"/>
      <c r="P450" s="1106">
        <f t="shared" ref="P450:Q450" si="45">SUM(P379:P449)/2</f>
        <v>97247076.400600642</v>
      </c>
      <c r="Q450" s="1186">
        <f t="shared" si="45"/>
        <v>19268466.82768824</v>
      </c>
      <c r="S450" s="1114"/>
    </row>
    <row r="451" spans="2:19" ht="15.6">
      <c r="B451" s="851" t="s">
        <v>325</v>
      </c>
      <c r="C451" s="1185" t="s">
        <v>490</v>
      </c>
      <c r="E451" s="875"/>
      <c r="F451" s="795"/>
      <c r="G451" s="796"/>
      <c r="H451" s="797"/>
      <c r="I451" s="798"/>
      <c r="J451" s="798"/>
      <c r="K451" s="876"/>
      <c r="L451" s="877"/>
      <c r="M451" s="1060"/>
      <c r="N451" s="877"/>
      <c r="O451" s="895"/>
      <c r="P451" s="877"/>
      <c r="Q451" s="1067"/>
    </row>
    <row r="452" spans="2:19" ht="15.6" outlineLevel="2">
      <c r="B452" s="793"/>
      <c r="C452" s="848" t="s">
        <v>2</v>
      </c>
      <c r="D452" s="696" t="s">
        <v>461</v>
      </c>
      <c r="E452" s="849"/>
      <c r="F452" s="795"/>
      <c r="G452" s="796"/>
      <c r="H452" s="797"/>
      <c r="I452" s="798"/>
      <c r="J452" s="798"/>
      <c r="K452" s="799"/>
      <c r="L452" s="800"/>
      <c r="M452" s="1061"/>
      <c r="N452" s="800"/>
      <c r="O452" s="841"/>
      <c r="P452" s="800"/>
      <c r="Q452" s="1068"/>
    </row>
    <row r="453" spans="2:19" outlineLevel="2">
      <c r="B453" s="793"/>
      <c r="C453" s="802"/>
      <c r="D453" s="794">
        <v>1</v>
      </c>
      <c r="E453" s="795" t="s">
        <v>464</v>
      </c>
      <c r="F453" s="795"/>
      <c r="G453" s="796"/>
      <c r="H453" s="797">
        <f>RAB!H451</f>
        <v>48</v>
      </c>
      <c r="I453" s="797" t="str">
        <f>RAB!I451</f>
        <v>M2</v>
      </c>
      <c r="J453" s="797" t="str">
        <f>RAB!J451</f>
        <v>Hit. DNG.01</v>
      </c>
      <c r="K453" s="804" t="e">
        <f>VLOOKUP(J453,RKPANL!B:D,2,0)</f>
        <v>#N/A</v>
      </c>
      <c r="L453" s="800">
        <f>RAB!L451</f>
        <v>100000</v>
      </c>
      <c r="M453" s="1061">
        <f>L453*H453</f>
        <v>4800000</v>
      </c>
      <c r="N453" s="800"/>
      <c r="O453" s="1127">
        <v>0.83479999999999999</v>
      </c>
      <c r="P453" s="800">
        <f>M453*O453</f>
        <v>4007040</v>
      </c>
      <c r="Q453" s="1068">
        <f>M453-P453</f>
        <v>792960</v>
      </c>
    </row>
    <row r="454" spans="2:19" outlineLevel="2">
      <c r="B454" s="793"/>
      <c r="C454" s="802"/>
      <c r="D454" s="794">
        <v>2</v>
      </c>
      <c r="E454" s="795" t="s">
        <v>480</v>
      </c>
      <c r="F454" s="795"/>
      <c r="G454" s="796"/>
      <c r="H454" s="797">
        <f>RAB!H452</f>
        <v>96</v>
      </c>
      <c r="I454" s="797" t="str">
        <f>RAB!I452</f>
        <v>M2</v>
      </c>
      <c r="J454" s="797" t="str">
        <f>RAB!J452</f>
        <v>Hit. DNG.02</v>
      </c>
      <c r="K454" s="804" t="e">
        <f>VLOOKUP(J454,RKPANL!B:D,2,0)</f>
        <v>#N/A</v>
      </c>
      <c r="L454" s="800">
        <f>RAB!L452</f>
        <v>70000</v>
      </c>
      <c r="M454" s="1061">
        <f>L454*H454</f>
        <v>6720000</v>
      </c>
      <c r="N454" s="800"/>
      <c r="O454" s="1127">
        <v>0.87039999999999995</v>
      </c>
      <c r="P454" s="800">
        <f>M454*O454</f>
        <v>5849088</v>
      </c>
      <c r="Q454" s="1068">
        <f>M454-P454</f>
        <v>870912</v>
      </c>
    </row>
    <row r="455" spans="2:19" outlineLevel="2">
      <c r="B455" s="793"/>
      <c r="C455" s="802"/>
      <c r="D455" s="794">
        <v>3</v>
      </c>
      <c r="E455" s="795" t="s">
        <v>700</v>
      </c>
      <c r="F455" s="795"/>
      <c r="G455" s="796"/>
      <c r="H455" s="797">
        <f>RAB!H453</f>
        <v>33.599999999999994</v>
      </c>
      <c r="I455" s="797" t="str">
        <f>RAB!I453</f>
        <v>M2</v>
      </c>
      <c r="J455" s="797" t="str">
        <f>RAB!J453</f>
        <v>Dihitung</v>
      </c>
      <c r="K455" s="804" t="e">
        <f>VLOOKUP(J455,RKPANL!B:D,2,0)</f>
        <v>#N/A</v>
      </c>
      <c r="L455" s="800">
        <f>RAB!L453</f>
        <v>500000</v>
      </c>
      <c r="M455" s="1061">
        <f>L455*H455</f>
        <v>16799999.999999996</v>
      </c>
      <c r="N455" s="800"/>
      <c r="O455" s="1127">
        <v>1</v>
      </c>
      <c r="P455" s="800">
        <f>M455*O455</f>
        <v>16799999.999999996</v>
      </c>
      <c r="Q455" s="1068">
        <f>M455-P455</f>
        <v>0</v>
      </c>
    </row>
    <row r="456" spans="2:19" outlineLevel="2">
      <c r="B456" s="793"/>
      <c r="C456" s="802"/>
      <c r="D456" s="794"/>
      <c r="E456" s="812"/>
      <c r="F456" s="795"/>
      <c r="G456" s="796"/>
      <c r="H456" s="797"/>
      <c r="I456" s="798"/>
      <c r="J456" s="798"/>
      <c r="K456" s="804"/>
      <c r="L456" s="800"/>
      <c r="M456" s="1061"/>
      <c r="N456" s="800"/>
      <c r="O456" s="841"/>
      <c r="P456" s="800"/>
      <c r="Q456" s="1068"/>
    </row>
    <row r="457" spans="2:19" ht="15.6" outlineLevel="2">
      <c r="B457" s="793"/>
      <c r="C457" s="848" t="s">
        <v>16</v>
      </c>
      <c r="D457" s="696" t="s">
        <v>509</v>
      </c>
      <c r="E457" s="849"/>
      <c r="F457" s="795"/>
      <c r="G457" s="817"/>
      <c r="H457" s="797"/>
      <c r="I457" s="798"/>
      <c r="J457" s="798"/>
      <c r="K457" s="804"/>
      <c r="L457" s="800"/>
      <c r="M457" s="1061"/>
      <c r="N457" s="800"/>
      <c r="O457" s="841"/>
      <c r="P457" s="800"/>
      <c r="Q457" s="1068"/>
    </row>
    <row r="458" spans="2:19" ht="15.6" outlineLevel="2">
      <c r="B458" s="793"/>
      <c r="C458" s="848"/>
      <c r="D458" s="794">
        <v>1</v>
      </c>
      <c r="E458" s="812" t="s">
        <v>683</v>
      </c>
      <c r="F458" s="795"/>
      <c r="G458" s="817"/>
      <c r="H458" s="797">
        <f>RAB!H456</f>
        <v>2</v>
      </c>
      <c r="I458" s="797" t="str">
        <f>RAB!I456</f>
        <v>Unit</v>
      </c>
      <c r="J458" s="797" t="str">
        <f>RAB!J456</f>
        <v>Taksir</v>
      </c>
      <c r="K458" s="804" t="e">
        <f>VLOOKUP(J458,RKPANL!B:D,2,0)</f>
        <v>#N/A</v>
      </c>
      <c r="L458" s="800">
        <f>RAB!L456</f>
        <v>5600000</v>
      </c>
      <c r="M458" s="1061">
        <f>L458*H458</f>
        <v>11200000</v>
      </c>
      <c r="N458" s="800"/>
      <c r="O458" s="1127">
        <v>1</v>
      </c>
      <c r="P458" s="800">
        <f>M458*O458</f>
        <v>11200000</v>
      </c>
      <c r="Q458" s="1068">
        <f>M458-P458</f>
        <v>0</v>
      </c>
    </row>
    <row r="459" spans="2:19" ht="15.6" outlineLevel="2">
      <c r="B459" s="793"/>
      <c r="C459" s="848"/>
      <c r="D459" s="794"/>
      <c r="E459" s="812"/>
      <c r="F459" s="795"/>
      <c r="G459" s="817"/>
      <c r="H459" s="797"/>
      <c r="I459" s="798"/>
      <c r="J459" s="798"/>
      <c r="K459" s="804"/>
      <c r="L459" s="800"/>
      <c r="M459" s="1061"/>
      <c r="N459" s="800"/>
      <c r="O459" s="841"/>
      <c r="P459" s="800"/>
      <c r="Q459" s="1068"/>
    </row>
    <row r="460" spans="2:19" ht="15.6" outlineLevel="2">
      <c r="B460" s="793"/>
      <c r="C460" s="848" t="s">
        <v>17</v>
      </c>
      <c r="D460" s="696" t="s">
        <v>498</v>
      </c>
      <c r="E460" s="849"/>
      <c r="F460" s="795"/>
      <c r="G460" s="817"/>
      <c r="H460" s="797"/>
      <c r="I460" s="798"/>
      <c r="J460" s="798"/>
      <c r="K460" s="804"/>
      <c r="L460" s="800"/>
      <c r="M460" s="1061"/>
      <c r="N460" s="800"/>
      <c r="O460" s="841"/>
      <c r="P460" s="800"/>
      <c r="Q460" s="1068"/>
    </row>
    <row r="461" spans="2:19" ht="15.6" outlineLevel="2">
      <c r="B461" s="793"/>
      <c r="C461" s="848"/>
      <c r="D461" s="794">
        <v>1</v>
      </c>
      <c r="E461" s="812" t="s">
        <v>510</v>
      </c>
      <c r="F461" s="795"/>
      <c r="G461" s="817"/>
      <c r="H461" s="797">
        <f>RAB!H459</f>
        <v>30</v>
      </c>
      <c r="I461" s="797" t="str">
        <f>RAB!I459</f>
        <v>M'</v>
      </c>
      <c r="J461" s="797" t="str">
        <f>RAB!J459</f>
        <v>Hit. PLF.01</v>
      </c>
      <c r="K461" s="804" t="e">
        <f>VLOOKUP(J461,RKPANL!B:D,2,0)</f>
        <v>#N/A</v>
      </c>
      <c r="L461" s="800">
        <f>RAB!L459</f>
        <v>300000</v>
      </c>
      <c r="M461" s="1061">
        <f>L461*H461</f>
        <v>9000000</v>
      </c>
      <c r="N461" s="800"/>
      <c r="O461" s="1127">
        <v>1</v>
      </c>
      <c r="P461" s="800">
        <f>M461*O461</f>
        <v>9000000</v>
      </c>
      <c r="Q461" s="1068">
        <f>M461-P461</f>
        <v>0</v>
      </c>
    </row>
    <row r="462" spans="2:19" ht="15.6" outlineLevel="2">
      <c r="B462" s="793"/>
      <c r="C462" s="848"/>
      <c r="D462" s="794">
        <v>2</v>
      </c>
      <c r="E462" s="812" t="s">
        <v>511</v>
      </c>
      <c r="F462" s="795"/>
      <c r="G462" s="817"/>
      <c r="H462" s="797">
        <f>RAB!H460</f>
        <v>25</v>
      </c>
      <c r="I462" s="797" t="str">
        <f>RAB!I460</f>
        <v>M'</v>
      </c>
      <c r="J462" s="797" t="str">
        <f>RAB!J460</f>
        <v>Hit. PLF.02</v>
      </c>
      <c r="K462" s="804" t="e">
        <f>VLOOKUP(J462,RKPANL!B:D,2,0)</f>
        <v>#N/A</v>
      </c>
      <c r="L462" s="800">
        <f>RAB!L460</f>
        <v>250000</v>
      </c>
      <c r="M462" s="1061">
        <f>L462*H462</f>
        <v>6250000</v>
      </c>
      <c r="N462" s="800"/>
      <c r="O462" s="1127">
        <v>1</v>
      </c>
      <c r="P462" s="800">
        <f>M462*O462</f>
        <v>6250000</v>
      </c>
      <c r="Q462" s="1068">
        <f>M462-P462</f>
        <v>0</v>
      </c>
    </row>
    <row r="463" spans="2:19" ht="15.6" outlineLevel="2">
      <c r="B463" s="793"/>
      <c r="C463" s="848"/>
      <c r="D463" s="794">
        <v>3</v>
      </c>
      <c r="E463" s="812" t="s">
        <v>425</v>
      </c>
      <c r="F463" s="795"/>
      <c r="G463" s="817"/>
      <c r="H463" s="797">
        <f>RAB!H461</f>
        <v>20</v>
      </c>
      <c r="I463" s="797" t="str">
        <f>RAB!I461</f>
        <v>M2</v>
      </c>
      <c r="J463" s="797" t="str">
        <f>RAB!J461</f>
        <v>Hit. PLF.03</v>
      </c>
      <c r="K463" s="804" t="e">
        <f>VLOOKUP(J463,RKPANL!B:D,2,0)</f>
        <v>#N/A</v>
      </c>
      <c r="L463" s="800">
        <f>RAB!L461</f>
        <v>50000</v>
      </c>
      <c r="M463" s="1061">
        <f>L463*H463</f>
        <v>1000000</v>
      </c>
      <c r="N463" s="800"/>
      <c r="O463" s="1127">
        <v>0.83479999999999999</v>
      </c>
      <c r="P463" s="800">
        <f>M463*O463</f>
        <v>834800</v>
      </c>
      <c r="Q463" s="1068">
        <f>M463-P463</f>
        <v>165200</v>
      </c>
    </row>
    <row r="464" spans="2:19" ht="15.6" outlineLevel="2">
      <c r="B464" s="793"/>
      <c r="C464" s="848"/>
      <c r="D464" s="794">
        <v>4</v>
      </c>
      <c r="E464" s="812" t="s">
        <v>462</v>
      </c>
      <c r="F464" s="795"/>
      <c r="G464" s="817"/>
      <c r="H464" s="797">
        <f>RAB!H462</f>
        <v>20</v>
      </c>
      <c r="I464" s="797" t="str">
        <f>RAB!I462</f>
        <v>M2</v>
      </c>
      <c r="J464" s="797" t="str">
        <f>RAB!J462</f>
        <v>Hit. PL. PVC</v>
      </c>
      <c r="K464" s="804" t="str">
        <f>VLOOKUP(J464,RKPANL!B:D,2,0)</f>
        <v xml:space="preserve">Pemasangan 1 m2 langit-langit Pvc t 8mm </v>
      </c>
      <c r="L464" s="800">
        <f>VLOOKUP(J464,RKPANL!B:D,3,0)</f>
        <v>153475</v>
      </c>
      <c r="M464" s="1061">
        <f>L464*H464</f>
        <v>3069500</v>
      </c>
      <c r="N464" s="800"/>
      <c r="O464" s="1127">
        <v>0.87039999999999995</v>
      </c>
      <c r="P464" s="800">
        <f>M464*O464</f>
        <v>2671692.7999999998</v>
      </c>
      <c r="Q464" s="1068">
        <f>M464-P464</f>
        <v>397807.20000000019</v>
      </c>
    </row>
    <row r="465" spans="2:19" ht="15.6" outlineLevel="2">
      <c r="B465" s="793"/>
      <c r="C465" s="848"/>
      <c r="D465" s="794">
        <v>5</v>
      </c>
      <c r="E465" s="812" t="s">
        <v>463</v>
      </c>
      <c r="F465" s="795"/>
      <c r="G465" s="817"/>
      <c r="H465" s="797">
        <f>RAB!H463</f>
        <v>90</v>
      </c>
      <c r="I465" s="797" t="str">
        <f>RAB!I463</f>
        <v>M'</v>
      </c>
      <c r="J465" s="797" t="str">
        <f>RAB!J463</f>
        <v>Hit.  Lis. PVC</v>
      </c>
      <c r="K465" s="804" t="str">
        <f>VLOOKUP(J465,RKPANL!B:D,2,0)</f>
        <v xml:space="preserve">Pemasangan 1 m' List plafond PVC </v>
      </c>
      <c r="L465" s="800">
        <f>VLOOKUP(J465,RKPANL!B:D,3,0)</f>
        <v>44020.75</v>
      </c>
      <c r="M465" s="1061">
        <f>L465*H465</f>
        <v>3961867.5</v>
      </c>
      <c r="N465" s="800"/>
      <c r="O465" s="1127">
        <v>0.94579999999999997</v>
      </c>
      <c r="P465" s="800">
        <f>M465*O465</f>
        <v>3747134.2815</v>
      </c>
      <c r="Q465" s="1068">
        <f>M465-P465</f>
        <v>214733.21849999996</v>
      </c>
    </row>
    <row r="466" spans="2:19" ht="15.6" outlineLevel="2">
      <c r="B466" s="851"/>
      <c r="C466" s="848"/>
      <c r="D466" s="794"/>
      <c r="E466" s="794"/>
      <c r="F466" s="795"/>
      <c r="G466" s="817"/>
      <c r="H466" s="797"/>
      <c r="I466" s="798"/>
      <c r="J466" s="798"/>
      <c r="K466" s="804"/>
      <c r="L466" s="800"/>
      <c r="M466" s="1061"/>
      <c r="N466" s="800"/>
      <c r="O466" s="841"/>
      <c r="P466" s="800"/>
      <c r="Q466" s="1068"/>
    </row>
    <row r="467" spans="2:19" ht="15.6" outlineLevel="2">
      <c r="B467" s="793"/>
      <c r="C467" s="848" t="s">
        <v>18</v>
      </c>
      <c r="D467" s="696" t="s">
        <v>422</v>
      </c>
      <c r="E467" s="849"/>
      <c r="F467" s="795"/>
      <c r="G467" s="817"/>
      <c r="H467" s="797"/>
      <c r="I467" s="798"/>
      <c r="J467" s="798"/>
      <c r="K467" s="804"/>
      <c r="L467" s="800"/>
      <c r="M467" s="1061"/>
      <c r="N467" s="800"/>
      <c r="O467" s="841"/>
      <c r="P467" s="800"/>
      <c r="Q467" s="1068"/>
    </row>
    <row r="468" spans="2:19" ht="15.6" outlineLevel="2">
      <c r="B468" s="793"/>
      <c r="C468" s="848"/>
      <c r="D468" s="850">
        <v>1</v>
      </c>
      <c r="E468" s="845" t="s">
        <v>921</v>
      </c>
      <c r="F468" s="795"/>
      <c r="G468" s="817"/>
      <c r="H468" s="797">
        <f>RAB!H466</f>
        <v>96</v>
      </c>
      <c r="I468" s="797" t="str">
        <f>RAB!I466</f>
        <v>M2</v>
      </c>
      <c r="J468" s="797" t="str">
        <f>RAB!J466</f>
        <v>A.4.7.1.10.</v>
      </c>
      <c r="K468" s="804" t="str">
        <f>VLOOKUP(J468,RKPANL!B:D,2,0)</f>
        <v>Pengecatan 1 m2 tembok baru (1 lapis plamuur, 1 lapis cat dasar, 2
lapis cat penutup)</v>
      </c>
      <c r="L468" s="800">
        <f>VLOOKUP(J468,RKPANL!B:D,3,0)</f>
        <v>55114.9</v>
      </c>
      <c r="M468" s="1061">
        <f>L468*H468</f>
        <v>5291030.4000000004</v>
      </c>
      <c r="N468" s="800"/>
      <c r="O468" s="1127">
        <v>0.70269999999999999</v>
      </c>
      <c r="P468" s="800">
        <f>M468*O468</f>
        <v>3718007.0620800001</v>
      </c>
      <c r="Q468" s="1068">
        <f>M468-P468</f>
        <v>1573023.3379200003</v>
      </c>
    </row>
    <row r="469" spans="2:19" outlineLevel="2">
      <c r="B469" s="793"/>
      <c r="C469" s="802"/>
      <c r="D469" s="794"/>
      <c r="E469" s="795"/>
      <c r="F469" s="795"/>
      <c r="G469" s="796"/>
      <c r="H469" s="797"/>
      <c r="I469" s="798"/>
      <c r="J469" s="798"/>
      <c r="K469" s="841"/>
      <c r="L469" s="800"/>
      <c r="M469" s="1061"/>
      <c r="N469" s="800"/>
      <c r="O469" s="841"/>
      <c r="P469" s="800"/>
      <c r="Q469" s="1068"/>
    </row>
    <row r="470" spans="2:19" s="1098" customFormat="1" ht="21.6" customHeight="1">
      <c r="B470" s="1115"/>
      <c r="C470" s="1104"/>
      <c r="D470" s="1104"/>
      <c r="E470" s="1104"/>
      <c r="F470" s="1104"/>
      <c r="G470" s="1104"/>
      <c r="H470" s="1104"/>
      <c r="I470" s="1104"/>
      <c r="J470" s="1104"/>
      <c r="K470" s="1272" t="s">
        <v>364</v>
      </c>
      <c r="L470" s="1272"/>
      <c r="M470" s="1105"/>
      <c r="N470" s="1106">
        <f>SUM(M453:M468)</f>
        <v>68092397.900000006</v>
      </c>
      <c r="O470" s="1124"/>
      <c r="P470" s="1106">
        <f t="shared" ref="P470:Q470" si="46">SUM(P453:P469)</f>
        <v>64077762.143579997</v>
      </c>
      <c r="Q470" s="1186">
        <f t="shared" si="46"/>
        <v>4014635.7564200005</v>
      </c>
      <c r="S470" s="1114"/>
    </row>
    <row r="471" spans="2:19" ht="15.6">
      <c r="B471" s="851" t="s">
        <v>2</v>
      </c>
      <c r="C471" s="1185" t="s">
        <v>495</v>
      </c>
      <c r="E471" s="875"/>
      <c r="F471" s="795"/>
      <c r="G471" s="796"/>
      <c r="H471" s="797"/>
      <c r="I471" s="798"/>
      <c r="J471" s="798"/>
      <c r="K471" s="876"/>
      <c r="L471" s="877"/>
      <c r="M471" s="1060"/>
      <c r="N471" s="877"/>
      <c r="O471" s="895"/>
      <c r="P471" s="877"/>
      <c r="Q471" s="1067"/>
    </row>
    <row r="472" spans="2:19" ht="15.6" outlineLevel="2">
      <c r="B472" s="793"/>
      <c r="C472" s="848" t="s">
        <v>2</v>
      </c>
      <c r="D472" s="696" t="s">
        <v>486</v>
      </c>
      <c r="E472" s="849"/>
      <c r="F472" s="795"/>
      <c r="G472" s="817"/>
      <c r="H472" s="797"/>
      <c r="I472" s="798"/>
      <c r="J472" s="798"/>
      <c r="K472" s="804"/>
      <c r="L472" s="800"/>
      <c r="M472" s="1061"/>
      <c r="N472" s="800"/>
      <c r="O472" s="841"/>
      <c r="P472" s="800"/>
      <c r="Q472" s="1068"/>
    </row>
    <row r="473" spans="2:19" ht="15.6" outlineLevel="2">
      <c r="B473" s="793"/>
      <c r="C473" s="848"/>
      <c r="D473" s="794">
        <v>1</v>
      </c>
      <c r="E473" s="812" t="s">
        <v>496</v>
      </c>
      <c r="F473" s="795"/>
      <c r="G473" s="817"/>
      <c r="H473" s="797">
        <f>RAB!H471</f>
        <v>1</v>
      </c>
      <c r="I473" s="797" t="str">
        <f>RAB!I471</f>
        <v>Unit</v>
      </c>
      <c r="J473" s="797" t="str">
        <f>RAB!J471</f>
        <v>Taksir</v>
      </c>
      <c r="K473" s="804" t="e">
        <f>VLOOKUP(J473,RKPANL!B:D,2,0)</f>
        <v>#N/A</v>
      </c>
      <c r="L473" s="800">
        <f>RAB!L471</f>
        <v>250000</v>
      </c>
      <c r="M473" s="1061">
        <f>L473*H473</f>
        <v>250000</v>
      </c>
      <c r="N473" s="800"/>
      <c r="O473" s="1127">
        <v>1</v>
      </c>
      <c r="P473" s="800">
        <f>M473*O473</f>
        <v>250000</v>
      </c>
      <c r="Q473" s="1068">
        <f>M473-P473</f>
        <v>0</v>
      </c>
    </row>
    <row r="474" spans="2:19" ht="15.6" outlineLevel="2">
      <c r="B474" s="793"/>
      <c r="C474" s="848"/>
      <c r="D474" s="794">
        <v>2</v>
      </c>
      <c r="E474" s="812" t="s">
        <v>497</v>
      </c>
      <c r="F474" s="795"/>
      <c r="G474" s="817"/>
      <c r="H474" s="797">
        <f>RAB!H472</f>
        <v>1</v>
      </c>
      <c r="I474" s="797" t="str">
        <f>RAB!I472</f>
        <v>Unit</v>
      </c>
      <c r="J474" s="797" t="str">
        <f>RAB!J472</f>
        <v>Taksir</v>
      </c>
      <c r="K474" s="804" t="e">
        <f>VLOOKUP(J474,RKPANL!B:D,2,0)</f>
        <v>#N/A</v>
      </c>
      <c r="L474" s="800">
        <f>RAB!L472</f>
        <v>200000</v>
      </c>
      <c r="M474" s="1061">
        <f>L474*H474</f>
        <v>200000</v>
      </c>
      <c r="N474" s="800"/>
      <c r="O474" s="1127">
        <v>1</v>
      </c>
      <c r="P474" s="800">
        <f>M474*O474</f>
        <v>200000</v>
      </c>
      <c r="Q474" s="1068">
        <f>M474-P474</f>
        <v>0</v>
      </c>
    </row>
    <row r="475" spans="2:19" ht="15.6" outlineLevel="2">
      <c r="B475" s="851"/>
      <c r="C475" s="848"/>
      <c r="D475" s="794"/>
      <c r="E475" s="794"/>
      <c r="F475" s="795"/>
      <c r="G475" s="817"/>
      <c r="H475" s="797"/>
      <c r="I475" s="798"/>
      <c r="J475" s="798"/>
      <c r="K475" s="804"/>
      <c r="L475" s="800"/>
      <c r="M475" s="1061"/>
      <c r="N475" s="800"/>
      <c r="O475" s="841"/>
      <c r="P475" s="800"/>
      <c r="Q475" s="1068"/>
    </row>
    <row r="476" spans="2:19" ht="15.6" outlineLevel="2">
      <c r="B476" s="793"/>
      <c r="C476" s="848" t="s">
        <v>16</v>
      </c>
      <c r="D476" s="696" t="s">
        <v>498</v>
      </c>
      <c r="E476" s="849"/>
      <c r="F476" s="795"/>
      <c r="G476" s="817"/>
      <c r="H476" s="797"/>
      <c r="I476" s="798"/>
      <c r="J476" s="798"/>
      <c r="K476" s="804"/>
      <c r="L476" s="800"/>
      <c r="M476" s="1061"/>
      <c r="N476" s="800"/>
      <c r="O476" s="841"/>
      <c r="P476" s="800"/>
      <c r="Q476" s="1068"/>
    </row>
    <row r="477" spans="2:19" ht="15.6" outlineLevel="2">
      <c r="B477" s="793"/>
      <c r="C477" s="848"/>
      <c r="D477" s="794">
        <v>1</v>
      </c>
      <c r="E477" s="812" t="s">
        <v>510</v>
      </c>
      <c r="F477" s="795"/>
      <c r="G477" s="817"/>
      <c r="H477" s="797">
        <f>RAB!H475</f>
        <v>30</v>
      </c>
      <c r="I477" s="797" t="str">
        <f>RAB!I475</f>
        <v>M'</v>
      </c>
      <c r="J477" s="797" t="str">
        <f>RAB!J475</f>
        <v>Hit. PLF.01</v>
      </c>
      <c r="K477" s="804" t="e">
        <f>VLOOKUP(J477,RKPANL!B:D,2,0)</f>
        <v>#N/A</v>
      </c>
      <c r="L477" s="800">
        <f>RAB!L475</f>
        <v>300000</v>
      </c>
      <c r="M477" s="1061">
        <f>L477*H477</f>
        <v>9000000</v>
      </c>
      <c r="N477" s="800"/>
      <c r="O477" s="1127">
        <v>1</v>
      </c>
      <c r="P477" s="800">
        <f>M477*O477</f>
        <v>9000000</v>
      </c>
      <c r="Q477" s="1068">
        <f>M477-P477</f>
        <v>0</v>
      </c>
    </row>
    <row r="478" spans="2:19" ht="15.6" outlineLevel="2">
      <c r="B478" s="793"/>
      <c r="C478" s="848"/>
      <c r="D478" s="794">
        <v>2</v>
      </c>
      <c r="E478" s="812" t="s">
        <v>511</v>
      </c>
      <c r="F478" s="795"/>
      <c r="G478" s="817"/>
      <c r="H478" s="797">
        <f>RAB!H476</f>
        <v>25</v>
      </c>
      <c r="I478" s="797" t="str">
        <f>RAB!I476</f>
        <v>M'</v>
      </c>
      <c r="J478" s="797" t="str">
        <f>RAB!J476</f>
        <v>Hit. PLF.02</v>
      </c>
      <c r="K478" s="804" t="e">
        <f>VLOOKUP(J478,RKPANL!B:D,2,0)</f>
        <v>#N/A</v>
      </c>
      <c r="L478" s="800">
        <f>RAB!L476</f>
        <v>250000</v>
      </c>
      <c r="M478" s="1061">
        <f>L478*H478</f>
        <v>6250000</v>
      </c>
      <c r="N478" s="800"/>
      <c r="O478" s="1127">
        <v>1</v>
      </c>
      <c r="P478" s="800">
        <f>M478*O478</f>
        <v>6250000</v>
      </c>
      <c r="Q478" s="1068">
        <f>M478-P478</f>
        <v>0</v>
      </c>
    </row>
    <row r="479" spans="2:19" ht="15.6" outlineLevel="2">
      <c r="B479" s="793"/>
      <c r="C479" s="848"/>
      <c r="D479" s="794">
        <v>3</v>
      </c>
      <c r="E479" s="812" t="s">
        <v>425</v>
      </c>
      <c r="F479" s="795"/>
      <c r="G479" s="817"/>
      <c r="H479" s="797">
        <f>RAB!H477</f>
        <v>20</v>
      </c>
      <c r="I479" s="797" t="str">
        <f>RAB!I477</f>
        <v>M2</v>
      </c>
      <c r="J479" s="797" t="str">
        <f>RAB!J477</f>
        <v>Hit. PLF.01</v>
      </c>
      <c r="K479" s="804" t="e">
        <f>VLOOKUP(J479,RKPANL!B:D,2,0)</f>
        <v>#N/A</v>
      </c>
      <c r="L479" s="800">
        <f>RAB!L477</f>
        <v>150000</v>
      </c>
      <c r="M479" s="1061">
        <f>L479*H479</f>
        <v>3000000</v>
      </c>
      <c r="N479" s="800"/>
      <c r="O479" s="1127">
        <v>0.83479999999999999</v>
      </c>
      <c r="P479" s="800">
        <f>M479*O479</f>
        <v>2504400</v>
      </c>
      <c r="Q479" s="1068">
        <f>M479-P479</f>
        <v>495600</v>
      </c>
    </row>
    <row r="480" spans="2:19" ht="15.6" outlineLevel="2">
      <c r="B480" s="793"/>
      <c r="C480" s="848"/>
      <c r="D480" s="794">
        <v>4</v>
      </c>
      <c r="E480" s="812" t="s">
        <v>462</v>
      </c>
      <c r="F480" s="795"/>
      <c r="G480" s="817"/>
      <c r="H480" s="797">
        <f>RAB!H478</f>
        <v>20</v>
      </c>
      <c r="I480" s="797" t="str">
        <f>RAB!I478</f>
        <v>Ls</v>
      </c>
      <c r="J480" s="797" t="str">
        <f>RAB!J478</f>
        <v>Hit. PL. PVC</v>
      </c>
      <c r="K480" s="804" t="str">
        <f>VLOOKUP(J480,RKPANL!B:D,2,0)</f>
        <v xml:space="preserve">Pemasangan 1 m2 langit-langit Pvc t 8mm </v>
      </c>
      <c r="L480" s="800">
        <f>VLOOKUP(J480,RKPANL!B:D,3,0)</f>
        <v>153475</v>
      </c>
      <c r="M480" s="1061">
        <f>L480*H480</f>
        <v>3069500</v>
      </c>
      <c r="N480" s="800"/>
      <c r="O480" s="1127">
        <v>0.94579999999999997</v>
      </c>
      <c r="P480" s="800">
        <f>M480*O480</f>
        <v>2903133.1</v>
      </c>
      <c r="Q480" s="1068">
        <f>M480-P480</f>
        <v>166366.89999999991</v>
      </c>
    </row>
    <row r="481" spans="2:19" ht="15.6" outlineLevel="2">
      <c r="B481" s="851"/>
      <c r="C481" s="848"/>
      <c r="D481" s="794"/>
      <c r="E481" s="794"/>
      <c r="F481" s="795"/>
      <c r="G481" s="817"/>
      <c r="H481" s="797"/>
      <c r="I481" s="798"/>
      <c r="J481" s="798"/>
      <c r="K481" s="804"/>
      <c r="L481" s="800"/>
      <c r="M481" s="1061"/>
      <c r="N481" s="800"/>
      <c r="O481" s="841"/>
      <c r="P481" s="800"/>
      <c r="Q481" s="1068"/>
    </row>
    <row r="482" spans="2:19" ht="15.6" outlineLevel="2">
      <c r="B482" s="793"/>
      <c r="C482" s="848" t="s">
        <v>17</v>
      </c>
      <c r="D482" s="696" t="s">
        <v>422</v>
      </c>
      <c r="E482" s="849"/>
      <c r="F482" s="795"/>
      <c r="G482" s="817"/>
      <c r="H482" s="797"/>
      <c r="I482" s="798"/>
      <c r="J482" s="798"/>
      <c r="K482" s="804"/>
      <c r="L482" s="800"/>
      <c r="M482" s="1061"/>
      <c r="N482" s="800"/>
      <c r="O482" s="841"/>
      <c r="P482" s="800"/>
      <c r="Q482" s="1068"/>
    </row>
    <row r="483" spans="2:19" ht="15.6" outlineLevel="2">
      <c r="B483" s="793"/>
      <c r="C483" s="848"/>
      <c r="D483" s="850">
        <v>1</v>
      </c>
      <c r="E483" s="845" t="s">
        <v>921</v>
      </c>
      <c r="F483" s="795"/>
      <c r="G483" s="817"/>
      <c r="H483" s="797">
        <f>RAB!H481</f>
        <v>56</v>
      </c>
      <c r="I483" s="797" t="str">
        <f>RAB!I481</f>
        <v>m2</v>
      </c>
      <c r="J483" s="797" t="str">
        <f>RAB!J481</f>
        <v>A.4.7.1.10.</v>
      </c>
      <c r="K483" s="804" t="str">
        <f>VLOOKUP(J483,RKPANL!B:D,2,0)</f>
        <v>Pengecatan 1 m2 tembok baru (1 lapis plamuur, 1 lapis cat dasar, 2
lapis cat penutup)</v>
      </c>
      <c r="L483" s="800">
        <f>VLOOKUP(J483,RKPANL!B:D,3,0)</f>
        <v>55114.9</v>
      </c>
      <c r="M483" s="1061">
        <f>L483*H483</f>
        <v>3086434.4</v>
      </c>
      <c r="N483" s="800"/>
      <c r="O483" s="1127">
        <v>0.70269999999999999</v>
      </c>
      <c r="P483" s="800">
        <f>M483*O483</f>
        <v>2168837.4528799998</v>
      </c>
      <c r="Q483" s="1068">
        <f>M483-P483</f>
        <v>917596.94712000014</v>
      </c>
    </row>
    <row r="484" spans="2:19" outlineLevel="2">
      <c r="B484" s="793"/>
      <c r="C484" s="802"/>
      <c r="D484" s="794"/>
      <c r="E484" s="795"/>
      <c r="F484" s="795"/>
      <c r="G484" s="796"/>
      <c r="H484" s="797"/>
      <c r="I484" s="798"/>
      <c r="J484" s="798"/>
      <c r="K484" s="806"/>
      <c r="L484" s="800"/>
      <c r="M484" s="1061"/>
      <c r="N484" s="800"/>
      <c r="O484" s="841"/>
      <c r="P484" s="800"/>
      <c r="Q484" s="1068"/>
    </row>
    <row r="485" spans="2:19" s="1098" customFormat="1" ht="21.6" customHeight="1">
      <c r="B485" s="1115"/>
      <c r="C485" s="1104"/>
      <c r="D485" s="1104"/>
      <c r="E485" s="1104"/>
      <c r="F485" s="1104"/>
      <c r="G485" s="1104"/>
      <c r="H485" s="1104"/>
      <c r="I485" s="1104"/>
      <c r="J485" s="1104"/>
      <c r="K485" s="1272" t="s">
        <v>460</v>
      </c>
      <c r="L485" s="1272"/>
      <c r="M485" s="1105"/>
      <c r="N485" s="1106">
        <f>SUM(M473:M483)</f>
        <v>24855934.399999999</v>
      </c>
      <c r="O485" s="1124"/>
      <c r="P485" s="1106">
        <f t="shared" ref="P485:Q485" si="47">SUM(P472:P484)</f>
        <v>23276370.55288</v>
      </c>
      <c r="Q485" s="1186">
        <f t="shared" si="47"/>
        <v>1579563.84712</v>
      </c>
      <c r="S485" s="1114"/>
    </row>
    <row r="486" spans="2:19" ht="15.6">
      <c r="B486" s="851" t="s">
        <v>328</v>
      </c>
      <c r="C486" s="1185" t="s">
        <v>482</v>
      </c>
      <c r="E486" s="875"/>
      <c r="F486" s="795"/>
      <c r="G486" s="796"/>
      <c r="H486" s="797"/>
      <c r="I486" s="798"/>
      <c r="J486" s="798"/>
      <c r="K486" s="876"/>
      <c r="L486" s="877"/>
      <c r="M486" s="1060"/>
      <c r="N486" s="877"/>
      <c r="O486" s="895"/>
      <c r="P486" s="877"/>
      <c r="Q486" s="1067"/>
    </row>
    <row r="487" spans="2:19" ht="15.6" outlineLevel="2">
      <c r="B487" s="793"/>
      <c r="C487" s="848" t="s">
        <v>2</v>
      </c>
      <c r="D487" s="696" t="s">
        <v>491</v>
      </c>
      <c r="E487" s="849"/>
      <c r="F487" s="795"/>
      <c r="G487" s="796"/>
      <c r="H487" s="797"/>
      <c r="I487" s="798"/>
      <c r="J487" s="798"/>
      <c r="K487" s="799"/>
      <c r="L487" s="800"/>
      <c r="M487" s="1061"/>
      <c r="N487" s="800"/>
      <c r="O487" s="841"/>
      <c r="P487" s="800"/>
      <c r="Q487" s="1068"/>
    </row>
    <row r="488" spans="2:19" outlineLevel="2">
      <c r="B488" s="793"/>
      <c r="C488" s="802"/>
      <c r="D488" s="850">
        <v>1</v>
      </c>
      <c r="E488" s="845" t="s">
        <v>900</v>
      </c>
      <c r="F488" s="795"/>
      <c r="G488" s="796"/>
      <c r="H488" s="797">
        <f>RAB!H486</f>
        <v>6</v>
      </c>
      <c r="I488" s="797" t="str">
        <f>RAB!I486</f>
        <v>Titik</v>
      </c>
      <c r="J488" s="797" t="str">
        <f>RAB!J486</f>
        <v>Hit. EL.1</v>
      </c>
      <c r="K488" s="804" t="str">
        <f>VLOOKUP(J488,RKPANL!B:D,2,0)</f>
        <v>Pasang 1 Titik Instalasi Penerangan dan Stop Kontak dengan Kabel NYA 2x2,5 mm</v>
      </c>
      <c r="L488" s="800">
        <f>VLOOKUP(J488,RKPANL!B:D,3,0)</f>
        <v>232084.375</v>
      </c>
      <c r="M488" s="1061">
        <f>L488*H488</f>
        <v>1392506.25</v>
      </c>
      <c r="N488" s="800"/>
      <c r="O488" s="1127">
        <v>0.95079999999999998</v>
      </c>
      <c r="P488" s="800">
        <f>M488*O488</f>
        <v>1323994.9424999999</v>
      </c>
      <c r="Q488" s="1068">
        <f>M488-P488</f>
        <v>68511.307500000112</v>
      </c>
    </row>
    <row r="489" spans="2:19" outlineLevel="2">
      <c r="B489" s="793"/>
      <c r="C489" s="802"/>
      <c r="D489" s="794">
        <v>2</v>
      </c>
      <c r="E489" s="845" t="s">
        <v>842</v>
      </c>
      <c r="F489" s="795"/>
      <c r="G489" s="796"/>
      <c r="H489" s="797">
        <f>RAB!H487</f>
        <v>4</v>
      </c>
      <c r="I489" s="797" t="str">
        <f>RAB!I487</f>
        <v>Set</v>
      </c>
      <c r="J489" s="797" t="str">
        <f>RAB!J487</f>
        <v>Hit. EL.7</v>
      </c>
      <c r="K489" s="804" t="str">
        <f>VLOOKUP(J489,RKPANL!B:D,2,0)</f>
        <v>Pasang 1 buah Lampu LED 7 watt + Fitting Down Light</v>
      </c>
      <c r="L489" s="800">
        <f>VLOOKUP(J489,RKPANL!B:D,3,0)</f>
        <v>121813.75</v>
      </c>
      <c r="M489" s="1061">
        <f>L489*H489</f>
        <v>487255</v>
      </c>
      <c r="N489" s="800"/>
      <c r="O489" s="1127">
        <v>1</v>
      </c>
      <c r="P489" s="800">
        <f>M489*O489</f>
        <v>487255</v>
      </c>
      <c r="Q489" s="1068">
        <f>M489-P489</f>
        <v>0</v>
      </c>
    </row>
    <row r="490" spans="2:19" outlineLevel="2">
      <c r="B490" s="793"/>
      <c r="C490" s="802"/>
      <c r="D490" s="794">
        <v>3</v>
      </c>
      <c r="E490" s="795" t="s">
        <v>74</v>
      </c>
      <c r="F490" s="795"/>
      <c r="G490" s="796"/>
      <c r="H490" s="797">
        <f>RAB!H488</f>
        <v>2</v>
      </c>
      <c r="I490" s="797" t="str">
        <f>RAB!I488</f>
        <v>Set</v>
      </c>
      <c r="J490" s="797" t="str">
        <f>RAB!J488</f>
        <v>Hit. EL.2</v>
      </c>
      <c r="K490" s="804" t="str">
        <f>VLOOKUP(J490,RKPANL!B:D,2,0)</f>
        <v>Pasang 1 Set Stop Kontak</v>
      </c>
      <c r="L490" s="800">
        <f>VLOOKUP(J490,RKPANL!B:D,3,0)</f>
        <v>94213.75</v>
      </c>
      <c r="M490" s="1061">
        <f>L490*H490</f>
        <v>188427.5</v>
      </c>
      <c r="N490" s="800"/>
      <c r="O490" s="1127">
        <v>0.6633</v>
      </c>
      <c r="P490" s="800">
        <f>M490*O490</f>
        <v>124983.96075</v>
      </c>
      <c r="Q490" s="1068">
        <f>M490-P490</f>
        <v>63443.539250000002</v>
      </c>
    </row>
    <row r="491" spans="2:19" outlineLevel="2">
      <c r="B491" s="793"/>
      <c r="C491" s="802"/>
      <c r="D491" s="794"/>
      <c r="E491" s="812"/>
      <c r="F491" s="795"/>
      <c r="G491" s="796"/>
      <c r="H491" s="797"/>
      <c r="I491" s="798"/>
      <c r="J491" s="798"/>
      <c r="K491" s="804"/>
      <c r="L491" s="800"/>
      <c r="M491" s="1061"/>
      <c r="N491" s="800"/>
      <c r="O491" s="841"/>
      <c r="P491" s="800"/>
      <c r="Q491" s="1068"/>
    </row>
    <row r="492" spans="2:19" ht="15.6" outlineLevel="2">
      <c r="B492" s="793"/>
      <c r="C492" s="848" t="s">
        <v>17</v>
      </c>
      <c r="D492" s="696" t="s">
        <v>486</v>
      </c>
      <c r="E492" s="849"/>
      <c r="F492" s="795"/>
      <c r="G492" s="817"/>
      <c r="H492" s="797"/>
      <c r="I492" s="798"/>
      <c r="J492" s="798"/>
      <c r="K492" s="804"/>
      <c r="L492" s="800"/>
      <c r="M492" s="1061"/>
      <c r="N492" s="800"/>
      <c r="O492" s="841"/>
      <c r="P492" s="800"/>
      <c r="Q492" s="1068"/>
    </row>
    <row r="493" spans="2:19" ht="15.6" outlineLevel="2">
      <c r="B493" s="793"/>
      <c r="C493" s="848"/>
      <c r="D493" s="794">
        <v>1</v>
      </c>
      <c r="E493" s="812" t="s">
        <v>487</v>
      </c>
      <c r="F493" s="795"/>
      <c r="G493" s="817"/>
      <c r="H493" s="797">
        <f>RAB!H491</f>
        <v>1</v>
      </c>
      <c r="I493" s="797" t="str">
        <f>RAB!I491</f>
        <v>Unit</v>
      </c>
      <c r="J493" s="797" t="str">
        <f>RAB!J491</f>
        <v>A.4.6.2.2</v>
      </c>
      <c r="K493" s="804" t="str">
        <f>VLOOKUP(J493,RKPANL!B:D,2,0)</f>
        <v>Memasang 1 bh kunci tanam</v>
      </c>
      <c r="L493" s="800">
        <f>VLOOKUP(J493,RKPANL!B:D,3,0)</f>
        <v>305698.75</v>
      </c>
      <c r="M493" s="1061">
        <f>L493*H493</f>
        <v>305698.75</v>
      </c>
      <c r="N493" s="800"/>
      <c r="O493" s="1127">
        <v>1</v>
      </c>
      <c r="P493" s="800">
        <f>M493*O493</f>
        <v>305698.75</v>
      </c>
      <c r="Q493" s="1068">
        <f>M493-P493</f>
        <v>0</v>
      </c>
    </row>
    <row r="494" spans="2:19" ht="15.6" outlineLevel="2">
      <c r="B494" s="793"/>
      <c r="C494" s="848"/>
      <c r="D494" s="794">
        <v>2</v>
      </c>
      <c r="E494" s="812" t="s">
        <v>488</v>
      </c>
      <c r="F494" s="795"/>
      <c r="G494" s="817"/>
      <c r="H494" s="797">
        <f>RAB!H492</f>
        <v>1</v>
      </c>
      <c r="I494" s="797" t="str">
        <f>RAB!I492</f>
        <v>Unit</v>
      </c>
      <c r="J494" s="797" t="str">
        <f>RAB!J492</f>
        <v>A.4.6.2.8</v>
      </c>
      <c r="K494" s="804" t="str">
        <f>VLOOKUP(J494,RKPANL!B:D,2,0)</f>
        <v>Memasang 1 bh engsel jendela Alumunium</v>
      </c>
      <c r="L494" s="800">
        <f>VLOOKUP(J494,RKPANL!B:D,3,0)</f>
        <v>112714.375</v>
      </c>
      <c r="M494" s="1061">
        <f>L494*H494</f>
        <v>112714.375</v>
      </c>
      <c r="N494" s="800"/>
      <c r="O494" s="1127">
        <v>1</v>
      </c>
      <c r="P494" s="800">
        <f>M494*O494</f>
        <v>112714.375</v>
      </c>
      <c r="Q494" s="1068">
        <f>M494-P494</f>
        <v>0</v>
      </c>
    </row>
    <row r="495" spans="2:19" ht="15.6" outlineLevel="2">
      <c r="B495" s="851"/>
      <c r="C495" s="848"/>
      <c r="D495" s="794"/>
      <c r="E495" s="794"/>
      <c r="F495" s="795"/>
      <c r="G495" s="817"/>
      <c r="H495" s="797"/>
      <c r="I495" s="798"/>
      <c r="J495" s="798"/>
      <c r="K495" s="804"/>
      <c r="L495" s="800"/>
      <c r="M495" s="1061"/>
      <c r="N495" s="800"/>
      <c r="O495" s="841"/>
      <c r="P495" s="800"/>
      <c r="Q495" s="1068"/>
    </row>
    <row r="496" spans="2:19" ht="15.6" outlineLevel="2">
      <c r="B496" s="793"/>
      <c r="C496" s="848" t="s">
        <v>16</v>
      </c>
      <c r="D496" s="696" t="s">
        <v>483</v>
      </c>
      <c r="E496" s="849"/>
      <c r="F496" s="795"/>
      <c r="G496" s="817"/>
      <c r="H496" s="797"/>
      <c r="I496" s="798"/>
      <c r="J496" s="798"/>
      <c r="K496" s="804"/>
      <c r="L496" s="800"/>
      <c r="M496" s="1061"/>
      <c r="N496" s="800"/>
      <c r="O496" s="841"/>
      <c r="P496" s="800"/>
      <c r="Q496" s="1068"/>
    </row>
    <row r="497" spans="2:19" ht="15.6" outlineLevel="2">
      <c r="B497" s="793"/>
      <c r="C497" s="848"/>
      <c r="D497" s="794">
        <v>1</v>
      </c>
      <c r="E497" s="812" t="s">
        <v>425</v>
      </c>
      <c r="F497" s="795"/>
      <c r="G497" s="817"/>
      <c r="H497" s="797">
        <f>RAB!H495</f>
        <v>103</v>
      </c>
      <c r="I497" s="797" t="str">
        <f>RAB!I495</f>
        <v>M2</v>
      </c>
      <c r="J497" s="797" t="str">
        <f>RAB!J495</f>
        <v>Hit. PLF.01</v>
      </c>
      <c r="K497" s="804" t="e">
        <f>VLOOKUP(J497,RKPANL!B:D,2,0)</f>
        <v>#N/A</v>
      </c>
      <c r="L497" s="800">
        <f>RAB!L495</f>
        <v>150000</v>
      </c>
      <c r="M497" s="1061">
        <f>L497*H497</f>
        <v>15450000</v>
      </c>
      <c r="N497" s="800"/>
      <c r="O497" s="1127">
        <v>0.83479999999999999</v>
      </c>
      <c r="P497" s="800">
        <f>M497*O497</f>
        <v>12897660</v>
      </c>
      <c r="Q497" s="1068">
        <f>M497-P497</f>
        <v>2552340</v>
      </c>
    </row>
    <row r="498" spans="2:19" ht="15.6" outlineLevel="2">
      <c r="B498" s="793"/>
      <c r="C498" s="848"/>
      <c r="D498" s="794">
        <v>2</v>
      </c>
      <c r="E498" s="812" t="s">
        <v>462</v>
      </c>
      <c r="F498" s="795"/>
      <c r="G498" s="817"/>
      <c r="H498" s="797">
        <f>RAB!H496</f>
        <v>103</v>
      </c>
      <c r="I498" s="797" t="str">
        <f>RAB!I496</f>
        <v>M2</v>
      </c>
      <c r="J498" s="797" t="str">
        <f>RAB!J496</f>
        <v>Hit. PL. PVC</v>
      </c>
      <c r="K498" s="804" t="str">
        <f>VLOOKUP(J498,RKPANL!B:D,2,0)</f>
        <v xml:space="preserve">Pemasangan 1 m2 langit-langit Pvc t 8mm </v>
      </c>
      <c r="L498" s="800">
        <f>VLOOKUP(J498,RKPANL!B:D,3,0)</f>
        <v>153475</v>
      </c>
      <c r="M498" s="1061">
        <f>L498*H498</f>
        <v>15807925</v>
      </c>
      <c r="N498" s="800"/>
      <c r="O498" s="1127">
        <v>0.87039999999999995</v>
      </c>
      <c r="P498" s="800">
        <f>M498*O498</f>
        <v>13759217.92</v>
      </c>
      <c r="Q498" s="1068">
        <f>M498-P498</f>
        <v>2048707.08</v>
      </c>
    </row>
    <row r="499" spans="2:19" ht="15.6" outlineLevel="2">
      <c r="B499" s="793"/>
      <c r="C499" s="848"/>
      <c r="D499" s="794">
        <v>3</v>
      </c>
      <c r="E499" s="812" t="s">
        <v>463</v>
      </c>
      <c r="F499" s="795"/>
      <c r="G499" s="817"/>
      <c r="H499" s="797">
        <f>RAB!H497</f>
        <v>41.7</v>
      </c>
      <c r="I499" s="797" t="str">
        <f>RAB!I497</f>
        <v>M2</v>
      </c>
      <c r="J499" s="797" t="str">
        <f>RAB!J497</f>
        <v>Hit.  Lis. PVC</v>
      </c>
      <c r="K499" s="804" t="str">
        <f>VLOOKUP(J499,RKPANL!B:D,2,0)</f>
        <v xml:space="preserve">Pemasangan 1 m' List plafond PVC </v>
      </c>
      <c r="L499" s="800">
        <f>VLOOKUP(J499,RKPANL!B:D,3,0)</f>
        <v>44020.75</v>
      </c>
      <c r="M499" s="1061">
        <f>L499*H499</f>
        <v>1835665.2750000001</v>
      </c>
      <c r="N499" s="800"/>
      <c r="O499" s="1127">
        <v>0.94579999999999997</v>
      </c>
      <c r="P499" s="800">
        <f>M499*O499</f>
        <v>1736172.217095</v>
      </c>
      <c r="Q499" s="1068">
        <f>M499-P499</f>
        <v>99493.057905000169</v>
      </c>
    </row>
    <row r="500" spans="2:19" ht="15.6" outlineLevel="2">
      <c r="B500" s="851"/>
      <c r="C500" s="848"/>
      <c r="D500" s="794"/>
      <c r="E500" s="794"/>
      <c r="F500" s="795"/>
      <c r="G500" s="817"/>
      <c r="H500" s="797"/>
      <c r="I500" s="798"/>
      <c r="J500" s="798"/>
      <c r="K500" s="804"/>
      <c r="L500" s="800"/>
      <c r="M500" s="1061"/>
      <c r="N500" s="800"/>
      <c r="O500" s="841"/>
      <c r="P500" s="800"/>
      <c r="Q500" s="1068"/>
    </row>
    <row r="501" spans="2:19" ht="15.6" outlineLevel="2">
      <c r="B501" s="793"/>
      <c r="C501" s="848" t="s">
        <v>17</v>
      </c>
      <c r="D501" s="696" t="s">
        <v>422</v>
      </c>
      <c r="E501" s="849"/>
      <c r="F501" s="795"/>
      <c r="G501" s="817"/>
      <c r="H501" s="797"/>
      <c r="I501" s="798"/>
      <c r="J501" s="798"/>
      <c r="K501" s="804"/>
      <c r="L501" s="800"/>
      <c r="M501" s="1061"/>
      <c r="N501" s="800"/>
      <c r="O501" s="841"/>
      <c r="P501" s="800"/>
      <c r="Q501" s="1068"/>
    </row>
    <row r="502" spans="2:19" ht="15.6" outlineLevel="2">
      <c r="B502" s="793"/>
      <c r="C502" s="848"/>
      <c r="D502" s="850">
        <v>1</v>
      </c>
      <c r="E502" s="845" t="s">
        <v>919</v>
      </c>
      <c r="F502" s="795"/>
      <c r="G502" s="817"/>
      <c r="H502" s="797">
        <f>RAB!H500</f>
        <v>125.10000000000001</v>
      </c>
      <c r="I502" s="797" t="str">
        <f>RAB!I500</f>
        <v>M2</v>
      </c>
      <c r="J502" s="797" t="str">
        <f>RAB!J500</f>
        <v>A.4.7.1.10.</v>
      </c>
      <c r="K502" s="804" t="str">
        <f>VLOOKUP(J502,RKPANL!B:D,2,0)</f>
        <v>Pengecatan 1 m2 tembok baru (1 lapis plamuur, 1 lapis cat dasar, 2
lapis cat penutup)</v>
      </c>
      <c r="L502" s="800">
        <f>VLOOKUP(J502,RKPANL!B:D,3,0)</f>
        <v>55114.9</v>
      </c>
      <c r="M502" s="1061">
        <f>L502*H502</f>
        <v>6894873.9900000002</v>
      </c>
      <c r="N502" s="800"/>
      <c r="O502" s="1127">
        <v>0.70269999999999999</v>
      </c>
      <c r="P502" s="800">
        <f>M502*O502</f>
        <v>4845027.9527730001</v>
      </c>
      <c r="Q502" s="1068">
        <f>M502-P502</f>
        <v>2049846.0372270001</v>
      </c>
    </row>
    <row r="503" spans="2:19" outlineLevel="2">
      <c r="B503" s="793"/>
      <c r="C503" s="802"/>
      <c r="D503" s="794"/>
      <c r="E503" s="795"/>
      <c r="F503" s="795"/>
      <c r="G503" s="796"/>
      <c r="H503" s="797"/>
      <c r="I503" s="798"/>
      <c r="J503" s="798"/>
      <c r="K503" s="806"/>
      <c r="L503" s="800"/>
      <c r="M503" s="1061"/>
      <c r="N503" s="800"/>
      <c r="O503" s="841"/>
      <c r="P503" s="800"/>
      <c r="Q503" s="1068"/>
    </row>
    <row r="504" spans="2:19" s="1098" customFormat="1" ht="21.6" customHeight="1">
      <c r="B504" s="1115"/>
      <c r="C504" s="1104"/>
      <c r="D504" s="1104"/>
      <c r="E504" s="1104"/>
      <c r="F504" s="1104"/>
      <c r="G504" s="1104"/>
      <c r="H504" s="1104"/>
      <c r="I504" s="1104"/>
      <c r="J504" s="1104"/>
      <c r="K504" s="1272" t="s">
        <v>504</v>
      </c>
      <c r="L504" s="1272"/>
      <c r="M504" s="1105"/>
      <c r="N504" s="1106">
        <f>SUM(M488:M502)</f>
        <v>42475066.140000001</v>
      </c>
      <c r="O504" s="1124"/>
      <c r="P504" s="1106">
        <f>SUM(P488:P503)</f>
        <v>35592725.118117996</v>
      </c>
      <c r="Q504" s="1186">
        <f t="shared" ref="Q504" si="48">SUM(Q489:Q503)</f>
        <v>6813829.7143819993</v>
      </c>
      <c r="S504" s="1114"/>
    </row>
    <row r="505" spans="2:19" ht="15.6">
      <c r="B505" s="851" t="s">
        <v>330</v>
      </c>
      <c r="C505" s="1185" t="s">
        <v>492</v>
      </c>
      <c r="E505" s="875"/>
      <c r="F505" s="795"/>
      <c r="G505" s="796"/>
      <c r="H505" s="797"/>
      <c r="I505" s="798"/>
      <c r="J505" s="798"/>
      <c r="K505" s="876"/>
      <c r="L505" s="877"/>
      <c r="M505" s="1060"/>
      <c r="N505" s="877"/>
      <c r="O505" s="895"/>
      <c r="P505" s="877"/>
      <c r="Q505" s="1067"/>
    </row>
    <row r="506" spans="2:19" ht="15.6" outlineLevel="2">
      <c r="B506" s="793"/>
      <c r="C506" s="848" t="s">
        <v>2</v>
      </c>
      <c r="D506" s="696" t="s">
        <v>491</v>
      </c>
      <c r="E506" s="849"/>
      <c r="F506" s="795"/>
      <c r="G506" s="796"/>
      <c r="H506" s="797"/>
      <c r="I506" s="798"/>
      <c r="J506" s="798"/>
      <c r="K506" s="799"/>
      <c r="L506" s="800"/>
      <c r="M506" s="1061"/>
      <c r="N506" s="800"/>
      <c r="O506" s="841"/>
      <c r="P506" s="800"/>
      <c r="Q506" s="1068"/>
    </row>
    <row r="507" spans="2:19" outlineLevel="2">
      <c r="B507" s="793"/>
      <c r="C507" s="802"/>
      <c r="D507" s="850">
        <v>1</v>
      </c>
      <c r="E507" s="845" t="s">
        <v>900</v>
      </c>
      <c r="F507" s="795"/>
      <c r="G507" s="796"/>
      <c r="H507" s="797">
        <f>RAB!H505</f>
        <v>8</v>
      </c>
      <c r="I507" s="797" t="str">
        <f>RAB!I505</f>
        <v>Titik</v>
      </c>
      <c r="J507" s="797" t="str">
        <f>RAB!J505</f>
        <v>Hit. EL.1</v>
      </c>
      <c r="K507" s="804" t="str">
        <f>VLOOKUP(J507,RKPANL!B:D,2,0)</f>
        <v>Pasang 1 Titik Instalasi Penerangan dan Stop Kontak dengan Kabel NYA 2x2,5 mm</v>
      </c>
      <c r="L507" s="800">
        <f>VLOOKUP(J507,RKPANL!B:D,3,0)</f>
        <v>232084.375</v>
      </c>
      <c r="M507" s="1061">
        <f>L507*H507</f>
        <v>1856675</v>
      </c>
      <c r="N507" s="800"/>
      <c r="O507" s="1127">
        <v>0.95079999999999998</v>
      </c>
      <c r="P507" s="800">
        <f>M507*O507</f>
        <v>1765326.5899999999</v>
      </c>
      <c r="Q507" s="1068">
        <f>M507-P507</f>
        <v>91348.410000000149</v>
      </c>
    </row>
    <row r="508" spans="2:19" outlineLevel="2">
      <c r="B508" s="793"/>
      <c r="C508" s="802"/>
      <c r="D508" s="794">
        <v>2</v>
      </c>
      <c r="E508" s="845" t="s">
        <v>842</v>
      </c>
      <c r="F508" s="795"/>
      <c r="G508" s="796"/>
      <c r="H508" s="797">
        <f>RAB!H506</f>
        <v>6</v>
      </c>
      <c r="I508" s="797" t="str">
        <f>RAB!I506</f>
        <v>Set</v>
      </c>
      <c r="J508" s="797" t="str">
        <f>RAB!J506</f>
        <v>Hit. EL.7</v>
      </c>
      <c r="K508" s="804" t="str">
        <f>VLOOKUP(J508,RKPANL!B:D,2,0)</f>
        <v>Pasang 1 buah Lampu LED 7 watt + Fitting Down Light</v>
      </c>
      <c r="L508" s="800">
        <f>VLOOKUP(J508,RKPANL!B:D,3,0)</f>
        <v>121813.75</v>
      </c>
      <c r="M508" s="1061">
        <f>L508*H508</f>
        <v>730882.5</v>
      </c>
      <c r="N508" s="800"/>
      <c r="O508" s="1127">
        <v>1</v>
      </c>
      <c r="P508" s="800">
        <f>M508*O508</f>
        <v>730882.5</v>
      </c>
      <c r="Q508" s="1068">
        <f>M508-P508</f>
        <v>0</v>
      </c>
    </row>
    <row r="509" spans="2:19" outlineLevel="2">
      <c r="B509" s="793"/>
      <c r="C509" s="802"/>
      <c r="D509" s="794">
        <v>3</v>
      </c>
      <c r="E509" s="795" t="s">
        <v>74</v>
      </c>
      <c r="F509" s="795"/>
      <c r="G509" s="796"/>
      <c r="H509" s="797">
        <f>RAB!H507</f>
        <v>2</v>
      </c>
      <c r="I509" s="797" t="str">
        <f>RAB!I507</f>
        <v>Set</v>
      </c>
      <c r="J509" s="797" t="str">
        <f>RAB!J507</f>
        <v>Hit. EL.2</v>
      </c>
      <c r="K509" s="804" t="str">
        <f>VLOOKUP(J509,RKPANL!B:D,2,0)</f>
        <v>Pasang 1 Set Stop Kontak</v>
      </c>
      <c r="L509" s="800">
        <f>VLOOKUP(J509,RKPANL!B:D,3,0)</f>
        <v>94213.75</v>
      </c>
      <c r="M509" s="1061">
        <f>L509*H509</f>
        <v>188427.5</v>
      </c>
      <c r="N509" s="800"/>
      <c r="O509" s="1127">
        <v>0.6633</v>
      </c>
      <c r="P509" s="800">
        <f>M509*O509</f>
        <v>124983.96075</v>
      </c>
      <c r="Q509" s="1068">
        <f>M509-P509</f>
        <v>63443.539250000002</v>
      </c>
    </row>
    <row r="510" spans="2:19" outlineLevel="2">
      <c r="B510" s="793"/>
      <c r="C510" s="802"/>
      <c r="D510" s="794"/>
      <c r="E510" s="812"/>
      <c r="F510" s="795"/>
      <c r="G510" s="796"/>
      <c r="H510" s="797"/>
      <c r="I510" s="798"/>
      <c r="J510" s="798"/>
      <c r="K510" s="804"/>
      <c r="L510" s="800"/>
      <c r="M510" s="1061"/>
      <c r="N510" s="800"/>
      <c r="O510" s="841"/>
      <c r="P510" s="800"/>
      <c r="Q510" s="1068"/>
    </row>
    <row r="511" spans="2:19" ht="15.6" outlineLevel="2">
      <c r="B511" s="793"/>
      <c r="C511" s="848" t="s">
        <v>17</v>
      </c>
      <c r="D511" s="696" t="s">
        <v>486</v>
      </c>
      <c r="E511" s="849"/>
      <c r="F511" s="795"/>
      <c r="G511" s="817"/>
      <c r="H511" s="797"/>
      <c r="I511" s="798"/>
      <c r="J511" s="798"/>
      <c r="K511" s="804"/>
      <c r="L511" s="800"/>
      <c r="M511" s="1061"/>
      <c r="N511" s="800"/>
      <c r="O511" s="841"/>
      <c r="P511" s="800"/>
      <c r="Q511" s="1068"/>
    </row>
    <row r="512" spans="2:19" ht="15.6" outlineLevel="2">
      <c r="B512" s="793"/>
      <c r="C512" s="848"/>
      <c r="D512" s="794">
        <v>1</v>
      </c>
      <c r="E512" s="812" t="s">
        <v>487</v>
      </c>
      <c r="F512" s="795"/>
      <c r="G512" s="817"/>
      <c r="H512" s="797">
        <f>RAB!H510</f>
        <v>1</v>
      </c>
      <c r="I512" s="797" t="str">
        <f>RAB!I510</f>
        <v>Unit</v>
      </c>
      <c r="J512" s="797" t="str">
        <f>RAB!J510</f>
        <v>A.4.6.2.2</v>
      </c>
      <c r="K512" s="804" t="str">
        <f>VLOOKUP(J512,RKPANL!B:D,2,0)</f>
        <v>Memasang 1 bh kunci tanam</v>
      </c>
      <c r="L512" s="800">
        <f>VLOOKUP(J512,RKPANL!B:D,3,0)</f>
        <v>305698.75</v>
      </c>
      <c r="M512" s="1061">
        <f>L512*H512</f>
        <v>305698.75</v>
      </c>
      <c r="N512" s="800"/>
      <c r="O512" s="1127">
        <v>1</v>
      </c>
      <c r="P512" s="800">
        <f>M512*O512</f>
        <v>305698.75</v>
      </c>
      <c r="Q512" s="1068">
        <f>M512-P512</f>
        <v>0</v>
      </c>
    </row>
    <row r="513" spans="2:19" ht="15.6" outlineLevel="2">
      <c r="B513" s="851"/>
      <c r="C513" s="848"/>
      <c r="D513" s="794"/>
      <c r="E513" s="794"/>
      <c r="F513" s="795"/>
      <c r="G513" s="817"/>
      <c r="H513" s="797"/>
      <c r="I513" s="798"/>
      <c r="J513" s="798"/>
      <c r="K513" s="804"/>
      <c r="L513" s="800"/>
      <c r="M513" s="1061"/>
      <c r="N513" s="800"/>
      <c r="O513" s="841"/>
      <c r="P513" s="800"/>
      <c r="Q513" s="1068"/>
    </row>
    <row r="514" spans="2:19" ht="15.6" outlineLevel="2">
      <c r="B514" s="793"/>
      <c r="C514" s="848" t="s">
        <v>16</v>
      </c>
      <c r="D514" s="696" t="s">
        <v>483</v>
      </c>
      <c r="E514" s="849"/>
      <c r="F514" s="795"/>
      <c r="G514" s="817"/>
      <c r="H514" s="797"/>
      <c r="I514" s="798"/>
      <c r="J514" s="798"/>
      <c r="K514" s="804"/>
      <c r="L514" s="800"/>
      <c r="M514" s="1061"/>
      <c r="N514" s="800"/>
      <c r="O514" s="841"/>
      <c r="P514" s="800"/>
      <c r="Q514" s="1068"/>
    </row>
    <row r="515" spans="2:19" ht="15.6" outlineLevel="2">
      <c r="B515" s="793"/>
      <c r="C515" s="848"/>
      <c r="D515" s="794">
        <v>1</v>
      </c>
      <c r="E515" s="812" t="s">
        <v>425</v>
      </c>
      <c r="F515" s="795"/>
      <c r="G515" s="817"/>
      <c r="H515" s="797">
        <f>RAB!H513</f>
        <v>12</v>
      </c>
      <c r="I515" s="797" t="str">
        <f>RAB!I513</f>
        <v>M2</v>
      </c>
      <c r="J515" s="797" t="str">
        <f>RAB!J513</f>
        <v>Hit. PLF.01</v>
      </c>
      <c r="K515" s="804" t="e">
        <f>VLOOKUP(J515,RKPANL!B:D,2,0)</f>
        <v>#N/A</v>
      </c>
      <c r="L515" s="800">
        <f>RAB!L513</f>
        <v>150000</v>
      </c>
      <c r="M515" s="1061">
        <f>L515*H515</f>
        <v>1800000</v>
      </c>
      <c r="N515" s="800"/>
      <c r="O515" s="1127">
        <v>0.83479999999999999</v>
      </c>
      <c r="P515" s="800">
        <f>M515*O515</f>
        <v>1502640</v>
      </c>
      <c r="Q515" s="1068">
        <f>M515-P515</f>
        <v>297360</v>
      </c>
    </row>
    <row r="516" spans="2:19" ht="15.6" outlineLevel="2">
      <c r="B516" s="793"/>
      <c r="C516" s="848"/>
      <c r="D516" s="794">
        <v>2</v>
      </c>
      <c r="E516" s="812" t="s">
        <v>493</v>
      </c>
      <c r="F516" s="795"/>
      <c r="G516" s="817"/>
      <c r="H516" s="797">
        <f>RAB!H514</f>
        <v>12</v>
      </c>
      <c r="I516" s="797" t="str">
        <f>RAB!I514</f>
        <v>M2</v>
      </c>
      <c r="J516" s="797" t="str">
        <f>RAB!J514</f>
        <v>Hit. PL. PVC</v>
      </c>
      <c r="K516" s="804" t="str">
        <f>VLOOKUP(J516,RKPANL!B:D,2,0)</f>
        <v xml:space="preserve">Pemasangan 1 m2 langit-langit Pvc t 8mm </v>
      </c>
      <c r="L516" s="800">
        <f>VLOOKUP(J516,RKPANL!B:D,3,0)</f>
        <v>153475</v>
      </c>
      <c r="M516" s="1061">
        <f>L516*H516</f>
        <v>1841700</v>
      </c>
      <c r="N516" s="800"/>
      <c r="O516" s="1127">
        <v>0.87039999999999995</v>
      </c>
      <c r="P516" s="800">
        <f>M516*O516</f>
        <v>1603015.6799999999</v>
      </c>
      <c r="Q516" s="1068">
        <f>M516-P516</f>
        <v>238684.32000000007</v>
      </c>
    </row>
    <row r="517" spans="2:19" ht="15.6" outlineLevel="2">
      <c r="B517" s="793"/>
      <c r="C517" s="848"/>
      <c r="D517" s="794">
        <v>3</v>
      </c>
      <c r="E517" s="812" t="s">
        <v>463</v>
      </c>
      <c r="F517" s="795"/>
      <c r="G517" s="817"/>
      <c r="H517" s="797">
        <f>RAB!H515</f>
        <v>14</v>
      </c>
      <c r="I517" s="797" t="str">
        <f>RAB!I515</f>
        <v>M2</v>
      </c>
      <c r="J517" s="797" t="str">
        <f>RAB!J515</f>
        <v>Hit.  Lis. PVC</v>
      </c>
      <c r="K517" s="804" t="str">
        <f>VLOOKUP(J517,RKPANL!B:D,2,0)</f>
        <v xml:space="preserve">Pemasangan 1 m' List plafond PVC </v>
      </c>
      <c r="L517" s="800">
        <f>VLOOKUP(J517,RKPANL!B:D,3,0)</f>
        <v>44020.75</v>
      </c>
      <c r="M517" s="1061">
        <f>L517*H517</f>
        <v>616290.5</v>
      </c>
      <c r="N517" s="800"/>
      <c r="O517" s="1127">
        <v>0.94579999999999997</v>
      </c>
      <c r="P517" s="800">
        <f>M517*O517</f>
        <v>582887.55489999999</v>
      </c>
      <c r="Q517" s="1068">
        <f>M517-P517</f>
        <v>33402.945100000012</v>
      </c>
    </row>
    <row r="518" spans="2:19" ht="15.6" outlineLevel="2">
      <c r="B518" s="851"/>
      <c r="C518" s="848"/>
      <c r="D518" s="794"/>
      <c r="E518" s="794"/>
      <c r="F518" s="795"/>
      <c r="G518" s="817"/>
      <c r="H518" s="797"/>
      <c r="I518" s="798"/>
      <c r="J518" s="798"/>
      <c r="K518" s="804"/>
      <c r="L518" s="800"/>
      <c r="M518" s="1061"/>
      <c r="N518" s="800"/>
      <c r="O518" s="841"/>
      <c r="P518" s="800"/>
      <c r="Q518" s="1068"/>
    </row>
    <row r="519" spans="2:19" ht="15.6" outlineLevel="2">
      <c r="B519" s="793"/>
      <c r="C519" s="848" t="s">
        <v>17</v>
      </c>
      <c r="D519" s="696" t="s">
        <v>422</v>
      </c>
      <c r="E519" s="849"/>
      <c r="F519" s="795"/>
      <c r="G519" s="817"/>
      <c r="H519" s="797"/>
      <c r="I519" s="798"/>
      <c r="J519" s="798"/>
      <c r="K519" s="804"/>
      <c r="L519" s="800"/>
      <c r="M519" s="1061"/>
      <c r="N519" s="800"/>
      <c r="O519" s="841"/>
      <c r="P519" s="800"/>
      <c r="Q519" s="1068"/>
    </row>
    <row r="520" spans="2:19" ht="15.6" outlineLevel="2">
      <c r="B520" s="793"/>
      <c r="C520" s="848"/>
      <c r="D520" s="850">
        <v>1</v>
      </c>
      <c r="E520" s="845" t="s">
        <v>919</v>
      </c>
      <c r="F520" s="795"/>
      <c r="G520" s="817"/>
      <c r="H520" s="797">
        <f>RAB!H518</f>
        <v>134.10000000000002</v>
      </c>
      <c r="I520" s="797" t="str">
        <f>RAB!I518</f>
        <v>M2</v>
      </c>
      <c r="J520" s="797" t="str">
        <f>RAB!J518</f>
        <v>A.4.7.1.10.</v>
      </c>
      <c r="K520" s="804" t="str">
        <f>VLOOKUP(J520,RKPANL!B:D,2,0)</f>
        <v>Pengecatan 1 m2 tembok baru (1 lapis plamuur, 1 lapis cat dasar, 2
lapis cat penutup)</v>
      </c>
      <c r="L520" s="800">
        <f>VLOOKUP(J520,RKPANL!B:D,3,0)</f>
        <v>55114.9</v>
      </c>
      <c r="M520" s="1061">
        <f>L520*H520</f>
        <v>7390908.0900000017</v>
      </c>
      <c r="N520" s="800"/>
      <c r="O520" s="1127">
        <v>0.70269999999999999</v>
      </c>
      <c r="P520" s="800">
        <f>M520*O520</f>
        <v>5193591.1148430016</v>
      </c>
      <c r="Q520" s="1068">
        <f>M520-P520</f>
        <v>2197316.9751570001</v>
      </c>
    </row>
    <row r="521" spans="2:19" outlineLevel="2">
      <c r="B521" s="793"/>
      <c r="C521" s="802"/>
      <c r="D521" s="794"/>
      <c r="E521" s="795"/>
      <c r="F521" s="795"/>
      <c r="G521" s="796"/>
      <c r="H521" s="797"/>
      <c r="I521" s="798"/>
      <c r="J521" s="798"/>
      <c r="K521" s="806"/>
      <c r="L521" s="800"/>
      <c r="M521" s="1061"/>
      <c r="N521" s="800"/>
      <c r="O521" s="841"/>
      <c r="P521" s="800"/>
      <c r="Q521" s="1068"/>
    </row>
    <row r="522" spans="2:19" s="1098" customFormat="1" ht="21.6" customHeight="1">
      <c r="B522" s="1115"/>
      <c r="C522" s="1104"/>
      <c r="D522" s="1104"/>
      <c r="E522" s="1104"/>
      <c r="F522" s="1104"/>
      <c r="G522" s="1104"/>
      <c r="H522" s="1104"/>
      <c r="I522" s="1104"/>
      <c r="J522" s="1104"/>
      <c r="K522" s="1272" t="s">
        <v>505</v>
      </c>
      <c r="L522" s="1272"/>
      <c r="M522" s="1105"/>
      <c r="N522" s="1106">
        <f>SUM(M507:M520)</f>
        <v>14730582.340000002</v>
      </c>
      <c r="O522" s="1124"/>
      <c r="P522" s="1106">
        <f>SUM(P507:P521)</f>
        <v>11809026.150493002</v>
      </c>
      <c r="Q522" s="1186">
        <f t="shared" ref="Q522" si="49">SUM(Q508:Q521)</f>
        <v>2830207.779507</v>
      </c>
      <c r="S522" s="1114"/>
    </row>
    <row r="523" spans="2:19" ht="15.6">
      <c r="B523" s="851" t="s">
        <v>501</v>
      </c>
      <c r="C523" s="1185" t="s">
        <v>494</v>
      </c>
      <c r="E523" s="875"/>
      <c r="F523" s="795"/>
      <c r="G523" s="796"/>
      <c r="H523" s="797"/>
      <c r="I523" s="798"/>
      <c r="J523" s="798"/>
      <c r="K523" s="876"/>
      <c r="L523" s="877"/>
      <c r="M523" s="1060"/>
      <c r="N523" s="877"/>
      <c r="O523" s="895"/>
      <c r="P523" s="877"/>
      <c r="Q523" s="1067"/>
    </row>
    <row r="524" spans="2:19" outlineLevel="2">
      <c r="B524" s="793"/>
      <c r="C524" s="802"/>
      <c r="D524" s="794">
        <v>1</v>
      </c>
      <c r="E524" s="845" t="s">
        <v>842</v>
      </c>
      <c r="F524" s="795"/>
      <c r="G524" s="796"/>
      <c r="H524" s="797">
        <f>RAB!H522</f>
        <v>8</v>
      </c>
      <c r="I524" s="797" t="str">
        <f>RAB!I522</f>
        <v>Set</v>
      </c>
      <c r="J524" s="797" t="str">
        <f>RAB!J522</f>
        <v>Hit. EL.7</v>
      </c>
      <c r="K524" s="804" t="str">
        <f>VLOOKUP(J524,RKPANL!B:D,2,0)</f>
        <v>Pasang 1 buah Lampu LED 7 watt + Fitting Down Light</v>
      </c>
      <c r="L524" s="800">
        <f>VLOOKUP(J524,RKPANL!B:D,3,0)</f>
        <v>121813.75</v>
      </c>
      <c r="M524" s="1061">
        <f>L524*H524</f>
        <v>974510</v>
      </c>
      <c r="N524" s="800"/>
      <c r="O524" s="1127">
        <v>1</v>
      </c>
      <c r="P524" s="800">
        <f>M524*O524</f>
        <v>974510</v>
      </c>
      <c r="Q524" s="1068">
        <f>M524-P524</f>
        <v>0</v>
      </c>
    </row>
    <row r="525" spans="2:19" ht="15.6" outlineLevel="2">
      <c r="B525" s="793"/>
      <c r="C525" s="848"/>
      <c r="D525" s="794">
        <v>2</v>
      </c>
      <c r="E525" s="812" t="s">
        <v>487</v>
      </c>
      <c r="F525" s="795"/>
      <c r="G525" s="817"/>
      <c r="H525" s="797">
        <f>RAB!H523</f>
        <v>1</v>
      </c>
      <c r="I525" s="797" t="str">
        <f>RAB!I523</f>
        <v>Unit</v>
      </c>
      <c r="J525" s="797" t="str">
        <f>RAB!J523</f>
        <v>A.4.6.2.2</v>
      </c>
      <c r="K525" s="804" t="str">
        <f>VLOOKUP(J525,RKPANL!B:D,2,0)</f>
        <v>Memasang 1 bh kunci tanam</v>
      </c>
      <c r="L525" s="800">
        <f>VLOOKUP(J525,RKPANL!B:D,3,0)</f>
        <v>305698.75</v>
      </c>
      <c r="M525" s="1061">
        <f>L525*H525</f>
        <v>305698.75</v>
      </c>
      <c r="N525" s="800"/>
      <c r="O525" s="1127">
        <v>1</v>
      </c>
      <c r="P525" s="800">
        <f>M525*O525</f>
        <v>305698.75</v>
      </c>
      <c r="Q525" s="1068">
        <f>M525-P525</f>
        <v>0</v>
      </c>
    </row>
    <row r="526" spans="2:19" ht="15.6" outlineLevel="2">
      <c r="B526" s="793"/>
      <c r="C526" s="848"/>
      <c r="D526" s="850">
        <v>3</v>
      </c>
      <c r="E526" s="845" t="s">
        <v>919</v>
      </c>
      <c r="F526" s="795"/>
      <c r="G526" s="817"/>
      <c r="H526" s="797">
        <f>RAB!H524</f>
        <v>144</v>
      </c>
      <c r="I526" s="797" t="str">
        <f>RAB!I524</f>
        <v>M2</v>
      </c>
      <c r="J526" s="797" t="str">
        <f>RAB!J524</f>
        <v>A.4.7.1.10.</v>
      </c>
      <c r="K526" s="804" t="str">
        <f>VLOOKUP(J526,RKPANL!B:D,2,0)</f>
        <v>Pengecatan 1 m2 tembok baru (1 lapis plamuur, 1 lapis cat dasar, 2
lapis cat penutup)</v>
      </c>
      <c r="L526" s="800">
        <f>VLOOKUP(J526,RKPANL!B:D,3,0)</f>
        <v>55114.9</v>
      </c>
      <c r="M526" s="1061">
        <f>L526*H526</f>
        <v>7936545.6000000006</v>
      </c>
      <c r="N526" s="800"/>
      <c r="O526" s="1127">
        <v>0.70269999999999999</v>
      </c>
      <c r="P526" s="800">
        <f>M526*O526</f>
        <v>5577010.5931200003</v>
      </c>
      <c r="Q526" s="1068">
        <f>M526-P526</f>
        <v>2359535.0068800002</v>
      </c>
    </row>
    <row r="527" spans="2:19" outlineLevel="2">
      <c r="B527" s="793"/>
      <c r="C527" s="802"/>
      <c r="D527" s="794"/>
      <c r="E527" s="795"/>
      <c r="F527" s="795"/>
      <c r="G527" s="796"/>
      <c r="H527" s="797"/>
      <c r="I527" s="798"/>
      <c r="J527" s="798"/>
      <c r="K527" s="806"/>
      <c r="L527" s="800"/>
      <c r="M527" s="1061"/>
      <c r="N527" s="800"/>
      <c r="O527" s="841"/>
      <c r="P527" s="800"/>
      <c r="Q527" s="1068"/>
    </row>
    <row r="528" spans="2:19" s="1098" customFormat="1" ht="21.6" customHeight="1">
      <c r="B528" s="1115"/>
      <c r="C528" s="1104"/>
      <c r="D528" s="1104"/>
      <c r="E528" s="1104"/>
      <c r="F528" s="1104"/>
      <c r="G528" s="1104"/>
      <c r="H528" s="1104"/>
      <c r="I528" s="1104"/>
      <c r="J528" s="1104"/>
      <c r="K528" s="1272" t="s">
        <v>506</v>
      </c>
      <c r="L528" s="1272"/>
      <c r="M528" s="1105"/>
      <c r="N528" s="1106">
        <f>SUM(M524:M526)</f>
        <v>9216754.3500000015</v>
      </c>
      <c r="O528" s="1124"/>
      <c r="P528" s="1106">
        <f t="shared" ref="P528:Q528" si="50">SUM(P524:P527)</f>
        <v>6857219.3431200003</v>
      </c>
      <c r="Q528" s="1186">
        <f t="shared" si="50"/>
        <v>2359535.0068800002</v>
      </c>
      <c r="S528" s="1114"/>
    </row>
    <row r="529" spans="2:17" ht="15.6">
      <c r="B529" s="851" t="s">
        <v>286</v>
      </c>
      <c r="C529" s="1185" t="s">
        <v>499</v>
      </c>
      <c r="E529" s="875"/>
      <c r="F529" s="795"/>
      <c r="G529" s="796"/>
      <c r="H529" s="797"/>
      <c r="I529" s="798"/>
      <c r="J529" s="798"/>
      <c r="K529" s="876"/>
      <c r="L529" s="877"/>
      <c r="M529" s="1060"/>
      <c r="N529" s="877"/>
      <c r="O529" s="895"/>
      <c r="P529" s="877"/>
      <c r="Q529" s="1067"/>
    </row>
    <row r="530" spans="2:17" ht="15.6" outlineLevel="1">
      <c r="B530" s="880"/>
      <c r="C530" s="1187" t="s">
        <v>813</v>
      </c>
      <c r="D530" s="696" t="s">
        <v>465</v>
      </c>
      <c r="E530" s="875"/>
      <c r="F530" s="795"/>
      <c r="G530" s="796"/>
      <c r="H530" s="797"/>
      <c r="I530" s="798"/>
      <c r="J530" s="798"/>
      <c r="K530" s="895"/>
      <c r="L530" s="877"/>
      <c r="M530" s="1060"/>
      <c r="N530" s="877"/>
      <c r="O530" s="895"/>
      <c r="P530" s="877"/>
      <c r="Q530" s="1067"/>
    </row>
    <row r="531" spans="2:17" ht="15.6" outlineLevel="2">
      <c r="B531" s="793"/>
      <c r="C531" s="848" t="s">
        <v>2</v>
      </c>
      <c r="D531" s="696" t="s">
        <v>466</v>
      </c>
      <c r="E531" s="849"/>
      <c r="F531" s="795"/>
      <c r="G531" s="796"/>
      <c r="H531" s="797"/>
      <c r="I531" s="798"/>
      <c r="J531" s="798"/>
      <c r="K531" s="799"/>
      <c r="L531" s="800"/>
      <c r="M531" s="1061"/>
      <c r="N531" s="800"/>
      <c r="O531" s="841"/>
      <c r="P531" s="800"/>
      <c r="Q531" s="1068"/>
    </row>
    <row r="532" spans="2:17" outlineLevel="2">
      <c r="B532" s="793"/>
      <c r="C532" s="802"/>
      <c r="D532" s="794">
        <v>1</v>
      </c>
      <c r="E532" s="795" t="s">
        <v>899</v>
      </c>
      <c r="F532" s="795"/>
      <c r="G532" s="796"/>
      <c r="H532" s="797">
        <f>RAB!H530</f>
        <v>1</v>
      </c>
      <c r="I532" s="797" t="str">
        <f>RAB!I530</f>
        <v>Ls</v>
      </c>
      <c r="J532" s="797" t="str">
        <f>RAB!J530</f>
        <v>Taksir</v>
      </c>
      <c r="K532" s="804" t="e">
        <f>VLOOKUP(J532,RKPANL!B:D,2,0)</f>
        <v>#N/A</v>
      </c>
      <c r="L532" s="800">
        <f>RAB!L530</f>
        <v>2000000</v>
      </c>
      <c r="M532" s="1061">
        <f>L532*H532</f>
        <v>2000000</v>
      </c>
      <c r="N532" s="800"/>
      <c r="O532" s="1127">
        <v>1</v>
      </c>
      <c r="P532" s="800">
        <f>M532*O532</f>
        <v>2000000</v>
      </c>
      <c r="Q532" s="1068">
        <f>M532-P532</f>
        <v>0</v>
      </c>
    </row>
    <row r="533" spans="2:17" outlineLevel="2">
      <c r="B533" s="793"/>
      <c r="C533" s="802"/>
      <c r="D533" s="794">
        <v>2</v>
      </c>
      <c r="E533" s="795" t="s">
        <v>469</v>
      </c>
      <c r="F533" s="795"/>
      <c r="G533" s="796"/>
      <c r="H533" s="797"/>
      <c r="I533" s="798"/>
      <c r="J533" s="798"/>
      <c r="K533" s="804"/>
      <c r="L533" s="800"/>
      <c r="M533" s="1061"/>
      <c r="N533" s="800"/>
      <c r="O533" s="841"/>
      <c r="P533" s="800"/>
      <c r="Q533" s="1068"/>
    </row>
    <row r="534" spans="2:17" outlineLevel="2">
      <c r="B534" s="793"/>
      <c r="C534" s="802"/>
      <c r="D534" s="794"/>
      <c r="E534" s="803" t="s">
        <v>850</v>
      </c>
      <c r="F534" s="795"/>
      <c r="G534" s="796"/>
      <c r="H534" s="797">
        <f>RAB!H532</f>
        <v>0.27</v>
      </c>
      <c r="I534" s="797" t="str">
        <f>RAB!I532</f>
        <v>M3</v>
      </c>
      <c r="J534" s="797" t="str">
        <f>RAB!J532</f>
        <v>A.4.1.1.11.</v>
      </c>
      <c r="K534" s="804" t="str">
        <f>VLOOKUP(J534,RKPANL!B:D,2,0)</f>
        <v>Membuat 1 m3 beton mutu f’c = 14,5 Mpa (K175)</v>
      </c>
      <c r="L534" s="800">
        <f>VLOOKUP(J534,RKPANL!B:D,3,0)</f>
        <v>1342419.010989011</v>
      </c>
      <c r="M534" s="1061">
        <f t="shared" ref="M534:M537" si="51">L534*H534</f>
        <v>362453.13296703302</v>
      </c>
      <c r="N534" s="800"/>
      <c r="O534" s="1127">
        <v>0.95899999999999996</v>
      </c>
      <c r="P534" s="800">
        <f>M534*O534</f>
        <v>347592.55451538466</v>
      </c>
      <c r="Q534" s="1068">
        <f>M534-P534</f>
        <v>14860.578451648355</v>
      </c>
    </row>
    <row r="535" spans="2:17" outlineLevel="2">
      <c r="B535" s="793"/>
      <c r="C535" s="802"/>
      <c r="D535" s="794"/>
      <c r="E535" s="803" t="s">
        <v>851</v>
      </c>
      <c r="F535" s="795"/>
      <c r="G535" s="796"/>
      <c r="H535" s="797">
        <f>RAB!H533</f>
        <v>31.945104000000001</v>
      </c>
      <c r="I535" s="797" t="str">
        <f>RAB!I533</f>
        <v>Kg</v>
      </c>
      <c r="J535" s="797" t="str">
        <f>RAB!J533</f>
        <v>A.4.1.1.17.</v>
      </c>
      <c r="K535" s="804" t="str">
        <f>VLOOKUP(J535,RKPANL!B:D,2,0)</f>
        <v xml:space="preserve">Pembesian 1 kg dengan besi polos Pembesian untuk 10 kg dengan besi polos </v>
      </c>
      <c r="L535" s="800">
        <f>VLOOKUP(J535,RKPANL!B:D,3,0)</f>
        <v>19744.349999999999</v>
      </c>
      <c r="M535" s="1061">
        <f t="shared" si="51"/>
        <v>630735.31416239997</v>
      </c>
      <c r="N535" s="800"/>
      <c r="O535" s="1127">
        <v>0.60250000000000004</v>
      </c>
      <c r="P535" s="800">
        <f>M535*O535</f>
        <v>380018.02678284602</v>
      </c>
      <c r="Q535" s="1068">
        <f>M535-P535</f>
        <v>250717.28737955395</v>
      </c>
    </row>
    <row r="536" spans="2:17" outlineLevel="2">
      <c r="B536" s="793"/>
      <c r="C536" s="802"/>
      <c r="D536" s="794"/>
      <c r="E536" s="803" t="s">
        <v>892</v>
      </c>
      <c r="F536" s="795"/>
      <c r="G536" s="796"/>
      <c r="H536" s="797">
        <f>RAB!H534</f>
        <v>16.327497600000001</v>
      </c>
      <c r="I536" s="797" t="str">
        <f>RAB!I534</f>
        <v>Kg</v>
      </c>
      <c r="J536" s="797" t="str">
        <f>RAB!J534</f>
        <v>A.4.1.1.17.</v>
      </c>
      <c r="K536" s="804" t="str">
        <f>VLOOKUP(J536,RKPANL!B:D,2,0)</f>
        <v xml:space="preserve">Pembesian 1 kg dengan besi polos Pembesian untuk 10 kg dengan besi polos </v>
      </c>
      <c r="L536" s="800">
        <f>VLOOKUP(J536,RKPANL!B:D,3,0)</f>
        <v>19744.349999999999</v>
      </c>
      <c r="M536" s="1061">
        <f t="shared" si="51"/>
        <v>322375.82723856001</v>
      </c>
      <c r="N536" s="800"/>
      <c r="O536" s="1127">
        <v>0.60250000000000004</v>
      </c>
      <c r="P536" s="800">
        <f>M536*O536</f>
        <v>194231.43591123243</v>
      </c>
      <c r="Q536" s="1068">
        <f>M536-P536</f>
        <v>128144.39132732758</v>
      </c>
    </row>
    <row r="537" spans="2:17" outlineLevel="2">
      <c r="B537" s="793"/>
      <c r="C537" s="802"/>
      <c r="D537" s="794"/>
      <c r="E537" s="803" t="s">
        <v>244</v>
      </c>
      <c r="F537" s="795"/>
      <c r="G537" s="796"/>
      <c r="H537" s="797">
        <f>RAB!H535</f>
        <v>4.95</v>
      </c>
      <c r="I537" s="797" t="str">
        <f>RAB!I535</f>
        <v>M2</v>
      </c>
      <c r="J537" s="797" t="str">
        <f>RAB!J535</f>
        <v>A.4.1.1.21.</v>
      </c>
      <c r="K537" s="804" t="str">
        <f>VLOOKUP(J537,RKPANL!B:D,2,0)</f>
        <v>Pemasangan 1 m2 bekisting untuk sloof / kolom praktis</v>
      </c>
      <c r="L537" s="800">
        <f>VLOOKUP(J537,RKPANL!B:D,3,0)</f>
        <v>318285.5</v>
      </c>
      <c r="M537" s="1061">
        <f t="shared" si="51"/>
        <v>1575513.2250000001</v>
      </c>
      <c r="N537" s="800"/>
      <c r="O537" s="1127">
        <v>0.99719999999999998</v>
      </c>
      <c r="P537" s="800">
        <f>M537*O537</f>
        <v>1571101.7879699999</v>
      </c>
      <c r="Q537" s="1068">
        <f>M537-P537</f>
        <v>4411.4370300001465</v>
      </c>
    </row>
    <row r="538" spans="2:17" outlineLevel="2">
      <c r="B538" s="793"/>
      <c r="C538" s="802"/>
      <c r="D538" s="794">
        <v>3</v>
      </c>
      <c r="E538" s="795" t="s">
        <v>713</v>
      </c>
      <c r="F538" s="795"/>
      <c r="G538" s="796"/>
      <c r="H538" s="797">
        <f>RAB!H536</f>
        <v>12</v>
      </c>
      <c r="I538" s="797" t="str">
        <f>RAB!I536</f>
        <v>M'</v>
      </c>
      <c r="J538" s="797" t="str">
        <f>RAB!J536</f>
        <v>A.4.1.1.35.</v>
      </c>
      <c r="K538" s="804" t="str">
        <f>VLOOKUP(J538,RKPANL!B:D,2,0)</f>
        <v>Membuat 1 m’ kolom praktis beton bertulang (11 x 11) cm</v>
      </c>
      <c r="L538" s="800">
        <f>VLOOKUP(J538,RKPANL!B:D,3,0)</f>
        <v>119594.25</v>
      </c>
      <c r="M538" s="1061">
        <f>L538*H538</f>
        <v>1435131</v>
      </c>
      <c r="N538" s="800"/>
      <c r="O538" s="1127">
        <v>0.75629999999999997</v>
      </c>
      <c r="P538" s="800">
        <f>M538*O538</f>
        <v>1085389.5752999999</v>
      </c>
      <c r="Q538" s="1068">
        <f>M538-P538</f>
        <v>349741.42470000009</v>
      </c>
    </row>
    <row r="539" spans="2:17" outlineLevel="2">
      <c r="B539" s="793"/>
      <c r="C539" s="802"/>
      <c r="D539" s="794"/>
      <c r="E539" s="812"/>
      <c r="F539" s="795"/>
      <c r="G539" s="796"/>
      <c r="H539" s="797"/>
      <c r="I539" s="798"/>
      <c r="J539" s="798"/>
      <c r="K539" s="804"/>
      <c r="L539" s="800"/>
      <c r="M539" s="1061"/>
      <c r="N539" s="800"/>
      <c r="O539" s="841"/>
      <c r="P539" s="800"/>
      <c r="Q539" s="1068"/>
    </row>
    <row r="540" spans="2:17" ht="15.6" outlineLevel="2">
      <c r="B540" s="793"/>
      <c r="C540" s="848" t="s">
        <v>16</v>
      </c>
      <c r="D540" s="696" t="s">
        <v>648</v>
      </c>
      <c r="E540" s="849"/>
      <c r="F540" s="795"/>
      <c r="G540" s="817"/>
      <c r="H540" s="797"/>
      <c r="I540" s="798"/>
      <c r="J540" s="798"/>
      <c r="K540" s="804"/>
      <c r="L540" s="800"/>
      <c r="M540" s="1061"/>
      <c r="N540" s="800"/>
      <c r="O540" s="841"/>
      <c r="P540" s="800"/>
      <c r="Q540" s="1068"/>
    </row>
    <row r="541" spans="2:17" ht="15.6" outlineLevel="2">
      <c r="B541" s="793"/>
      <c r="C541" s="848"/>
      <c r="D541" s="794">
        <v>1</v>
      </c>
      <c r="E541" s="812" t="s">
        <v>468</v>
      </c>
      <c r="F541" s="795"/>
      <c r="G541" s="817"/>
      <c r="H541" s="797">
        <f>RAB!H539</f>
        <v>35</v>
      </c>
      <c r="I541" s="797" t="str">
        <f>RAB!I539</f>
        <v>M2</v>
      </c>
      <c r="J541" s="797" t="str">
        <f>RAB!J539</f>
        <v>A.4.4.1.9</v>
      </c>
      <c r="K541" s="804" t="str">
        <f>VLOOKUP(J541,RKPANL!B:D,2,0)</f>
        <v>Pemasangan 1 m2 dinding bata merah (5x11x22) cm tebal ½ batu
campuran 1SP :4PP</v>
      </c>
      <c r="L541" s="800">
        <f>VLOOKUP(J541,RKPANL!B:D,3,0)</f>
        <v>143836.25</v>
      </c>
      <c r="M541" s="1061">
        <f t="shared" ref="M541:M545" si="52">L541*H541</f>
        <v>5034268.75</v>
      </c>
      <c r="N541" s="800"/>
      <c r="O541" s="1127">
        <v>0.98880000000000001</v>
      </c>
      <c r="P541" s="800">
        <f>M541*O541</f>
        <v>4977884.9400000004</v>
      </c>
      <c r="Q541" s="1068">
        <f>M541-P541</f>
        <v>56383.80999999959</v>
      </c>
    </row>
    <row r="542" spans="2:17" ht="15.6" outlineLevel="2">
      <c r="B542" s="793"/>
      <c r="C542" s="848"/>
      <c r="D542" s="794">
        <v>2</v>
      </c>
      <c r="E542" s="812" t="s">
        <v>365</v>
      </c>
      <c r="F542" s="795"/>
      <c r="G542" s="817"/>
      <c r="H542" s="797">
        <f>RAB!H540</f>
        <v>35</v>
      </c>
      <c r="I542" s="797" t="str">
        <f>RAB!I540</f>
        <v>M2</v>
      </c>
      <c r="J542" s="797" t="str">
        <f>RAB!J540</f>
        <v>A.4.4.2.4.</v>
      </c>
      <c r="K542" s="804" t="str">
        <f>VLOOKUP(J542,RKPANL!B:D,2,0)</f>
        <v>Pemasangan 1 m2 plesteran 1SP : 4PP tebal 15 mm</v>
      </c>
      <c r="L542" s="800">
        <f>VLOOKUP(J542,RKPANL!B:D,3,0)</f>
        <v>92152.95</v>
      </c>
      <c r="M542" s="1061">
        <f t="shared" si="52"/>
        <v>3225353.25</v>
      </c>
      <c r="N542" s="800"/>
      <c r="O542" s="1127">
        <v>0.99009999999999998</v>
      </c>
      <c r="P542" s="800">
        <f>M542*O542</f>
        <v>3193422.2528249999</v>
      </c>
      <c r="Q542" s="1068">
        <f>M542-P542</f>
        <v>31930.997175000142</v>
      </c>
    </row>
    <row r="543" spans="2:17" ht="15.6" outlineLevel="2">
      <c r="B543" s="793"/>
      <c r="C543" s="848"/>
      <c r="D543" s="794">
        <v>3</v>
      </c>
      <c r="E543" s="812" t="s">
        <v>452</v>
      </c>
      <c r="F543" s="795"/>
      <c r="G543" s="817"/>
      <c r="H543" s="797">
        <f>RAB!H541</f>
        <v>35</v>
      </c>
      <c r="I543" s="797" t="str">
        <f>RAB!I541</f>
        <v>M2</v>
      </c>
      <c r="J543" s="797" t="str">
        <f>RAB!J541</f>
        <v>A.4.4.2.27.</v>
      </c>
      <c r="K543" s="804" t="str">
        <f>VLOOKUP(J543,RKPANL!B:D,2,0)</f>
        <v>Pemasangan 1 m2 acian.</v>
      </c>
      <c r="L543" s="800">
        <f>VLOOKUP(J543,RKPANL!B:D,3,0)</f>
        <v>56896.25</v>
      </c>
      <c r="M543" s="1061">
        <f t="shared" si="52"/>
        <v>1991368.75</v>
      </c>
      <c r="N543" s="800"/>
      <c r="O543" s="1127">
        <v>0.99150000000000005</v>
      </c>
      <c r="P543" s="800">
        <f>M543*O543</f>
        <v>1974442.1156250001</v>
      </c>
      <c r="Q543" s="1068">
        <f>M543-P543</f>
        <v>16926.634374999907</v>
      </c>
    </row>
    <row r="544" spans="2:17" ht="15.6" outlineLevel="2">
      <c r="B544" s="793"/>
      <c r="C544" s="848"/>
      <c r="D544" s="794">
        <v>4</v>
      </c>
      <c r="E544" s="795" t="s">
        <v>909</v>
      </c>
      <c r="F544" s="795"/>
      <c r="G544" s="817"/>
      <c r="H544" s="797">
        <f>RAB!H542</f>
        <v>8</v>
      </c>
      <c r="I544" s="797" t="str">
        <f>RAB!I542</f>
        <v>M2</v>
      </c>
      <c r="J544" s="797" t="str">
        <f>RAB!J542</f>
        <v>A.4.4.3.33.A</v>
      </c>
      <c r="K544" s="804" t="str">
        <f>VLOOKUP(J544,RKPANL!B:D,2,0)</f>
        <v>Pemasangan 1m2 lantai granite ukuran 60cm x 60cm</v>
      </c>
      <c r="L544" s="800">
        <f>VLOOKUP(J544,RKPANL!B:D,3,0)</f>
        <v>513423.25</v>
      </c>
      <c r="M544" s="1061">
        <f t="shared" si="52"/>
        <v>4107386</v>
      </c>
      <c r="N544" s="800"/>
      <c r="O544" s="1127">
        <v>0.93910000000000005</v>
      </c>
      <c r="P544" s="800">
        <f>M544*O544</f>
        <v>3857246.1926000002</v>
      </c>
      <c r="Q544" s="1068">
        <f>M544-P544</f>
        <v>250139.80739999982</v>
      </c>
    </row>
    <row r="545" spans="2:17" ht="15.6" outlineLevel="2">
      <c r="B545" s="793"/>
      <c r="C545" s="848"/>
      <c r="D545" s="794">
        <v>5</v>
      </c>
      <c r="E545" s="795" t="s">
        <v>910</v>
      </c>
      <c r="F545" s="795"/>
      <c r="G545" s="817"/>
      <c r="H545" s="797">
        <f>RAB!H543</f>
        <v>28</v>
      </c>
      <c r="I545" s="797" t="str">
        <f>RAB!I543</f>
        <v>M2</v>
      </c>
      <c r="J545" s="797" t="str">
        <f>RAB!J543</f>
        <v>A.4.4.3.33.B</v>
      </c>
      <c r="K545" s="804" t="str">
        <f>VLOOKUP(J545,RKPANL!B:D,2,0)</f>
        <v>Pemasangan 1m2 Dinding granite ukuran 60cm x 60cm</v>
      </c>
      <c r="L545" s="800">
        <f>VLOOKUP(J545,RKPANL!B:D,3,0)</f>
        <v>563965.75</v>
      </c>
      <c r="M545" s="1061">
        <f t="shared" si="52"/>
        <v>15791041</v>
      </c>
      <c r="N545" s="800"/>
      <c r="O545" s="1127">
        <v>0.93910000000000005</v>
      </c>
      <c r="P545" s="800">
        <f>M545*O545</f>
        <v>14829366.6031</v>
      </c>
      <c r="Q545" s="1068">
        <f>M545-P545</f>
        <v>961674.39690000005</v>
      </c>
    </row>
    <row r="546" spans="2:17" ht="15.6" outlineLevel="2">
      <c r="B546" s="851"/>
      <c r="C546" s="848"/>
      <c r="D546" s="794"/>
      <c r="E546" s="794"/>
      <c r="F546" s="795"/>
      <c r="G546" s="817"/>
      <c r="H546" s="797"/>
      <c r="I546" s="798"/>
      <c r="J546" s="798"/>
      <c r="K546" s="804"/>
      <c r="L546" s="800"/>
      <c r="M546" s="1061"/>
      <c r="N546" s="800"/>
      <c r="O546" s="841"/>
      <c r="P546" s="800"/>
      <c r="Q546" s="1068"/>
    </row>
    <row r="547" spans="2:17" ht="15.6" outlineLevel="2">
      <c r="B547" s="793"/>
      <c r="C547" s="848" t="s">
        <v>17</v>
      </c>
      <c r="D547" s="696" t="s">
        <v>486</v>
      </c>
      <c r="E547" s="849"/>
      <c r="F547" s="795"/>
      <c r="G547" s="817"/>
      <c r="H547" s="797"/>
      <c r="I547" s="798"/>
      <c r="J547" s="798"/>
      <c r="K547" s="804"/>
      <c r="L547" s="800"/>
      <c r="M547" s="1061"/>
      <c r="N547" s="800"/>
      <c r="O547" s="841"/>
      <c r="P547" s="800"/>
      <c r="Q547" s="1068"/>
    </row>
    <row r="548" spans="2:17" ht="15.6" outlineLevel="2">
      <c r="B548" s="793"/>
      <c r="C548" s="848"/>
      <c r="D548" s="794">
        <v>1</v>
      </c>
      <c r="E548" s="812" t="s">
        <v>696</v>
      </c>
      <c r="F548" s="795"/>
      <c r="G548" s="817"/>
      <c r="H548" s="797">
        <f>RAB!H546</f>
        <v>1</v>
      </c>
      <c r="I548" s="797" t="str">
        <f>RAB!I546</f>
        <v>Unit</v>
      </c>
      <c r="J548" s="797" t="str">
        <f>RAB!J546</f>
        <v>Taksir</v>
      </c>
      <c r="K548" s="804" t="e">
        <f>VLOOKUP(J548,RKPANL!B:D,2,0)</f>
        <v>#N/A</v>
      </c>
      <c r="L548" s="800">
        <f>RAB!L546</f>
        <v>2500000</v>
      </c>
      <c r="M548" s="1061">
        <f>L548*H548</f>
        <v>2500000</v>
      </c>
      <c r="N548" s="800"/>
      <c r="O548" s="1127">
        <v>1</v>
      </c>
      <c r="P548" s="800">
        <f>M548*O548</f>
        <v>2500000</v>
      </c>
      <c r="Q548" s="1068">
        <f>M548-P548</f>
        <v>0</v>
      </c>
    </row>
    <row r="549" spans="2:17" ht="15.6" outlineLevel="2">
      <c r="B549" s="793"/>
      <c r="C549" s="848"/>
      <c r="D549" s="794">
        <v>2</v>
      </c>
      <c r="E549" s="812" t="s">
        <v>697</v>
      </c>
      <c r="F549" s="795"/>
      <c r="G549" s="817"/>
      <c r="H549" s="797">
        <f>RAB!H547</f>
        <v>2</v>
      </c>
      <c r="I549" s="797" t="str">
        <f>RAB!I547</f>
        <v>Unit</v>
      </c>
      <c r="J549" s="797" t="str">
        <f>RAB!J547</f>
        <v>Taksir</v>
      </c>
      <c r="K549" s="804" t="e">
        <f>VLOOKUP(J549,RKPANL!B:D,2,0)</f>
        <v>#N/A</v>
      </c>
      <c r="L549" s="800">
        <f>RAB!L547</f>
        <v>1200000</v>
      </c>
      <c r="M549" s="1061">
        <f>L549*H549</f>
        <v>2400000</v>
      </c>
      <c r="N549" s="800"/>
      <c r="O549" s="1127">
        <v>1</v>
      </c>
      <c r="P549" s="800">
        <f>M549*O549</f>
        <v>2400000</v>
      </c>
      <c r="Q549" s="1068">
        <f>M549-P549</f>
        <v>0</v>
      </c>
    </row>
    <row r="550" spans="2:17" ht="15.6" outlineLevel="2">
      <c r="B550" s="793"/>
      <c r="C550" s="848"/>
      <c r="D550" s="794"/>
      <c r="E550" s="812"/>
      <c r="F550" s="795"/>
      <c r="G550" s="817"/>
      <c r="H550" s="797"/>
      <c r="I550" s="798"/>
      <c r="J550" s="798"/>
      <c r="K550" s="804"/>
      <c r="L550" s="800"/>
      <c r="M550" s="1061"/>
      <c r="N550" s="800"/>
      <c r="O550" s="841"/>
      <c r="P550" s="800"/>
      <c r="Q550" s="1068"/>
    </row>
    <row r="551" spans="2:17" ht="15.6" outlineLevel="2">
      <c r="B551" s="793"/>
      <c r="C551" s="848" t="s">
        <v>18</v>
      </c>
      <c r="D551" s="696" t="s">
        <v>424</v>
      </c>
      <c r="E551" s="849"/>
      <c r="F551" s="795"/>
      <c r="G551" s="817"/>
      <c r="H551" s="797"/>
      <c r="I551" s="798"/>
      <c r="J551" s="798"/>
      <c r="K551" s="804"/>
      <c r="L551" s="800"/>
      <c r="M551" s="1061"/>
      <c r="N551" s="800"/>
      <c r="O551" s="841"/>
      <c r="P551" s="800"/>
      <c r="Q551" s="1068"/>
    </row>
    <row r="552" spans="2:17" ht="15.6" outlineLevel="2">
      <c r="B552" s="793"/>
      <c r="C552" s="848"/>
      <c r="D552" s="794">
        <v>1</v>
      </c>
      <c r="E552" s="812" t="s">
        <v>425</v>
      </c>
      <c r="F552" s="795"/>
      <c r="G552" s="817"/>
      <c r="H552" s="797">
        <f>RAB!H550</f>
        <v>8</v>
      </c>
      <c r="I552" s="797" t="str">
        <f>RAB!I550</f>
        <v>M2</v>
      </c>
      <c r="J552" s="797" t="str">
        <f>RAB!J550</f>
        <v>Hit. PLF.01</v>
      </c>
      <c r="K552" s="804" t="e">
        <f>VLOOKUP(J552,RKPANL!B:D,2,0)</f>
        <v>#N/A</v>
      </c>
      <c r="L552" s="800">
        <f>RAB!L550</f>
        <v>150000</v>
      </c>
      <c r="M552" s="1061">
        <f>L552*H552</f>
        <v>1200000</v>
      </c>
      <c r="N552" s="800"/>
      <c r="O552" s="1127">
        <v>0.83479999999999999</v>
      </c>
      <c r="P552" s="800">
        <f>M552*O552</f>
        <v>1001760</v>
      </c>
      <c r="Q552" s="1068">
        <f>M552-P552</f>
        <v>198240</v>
      </c>
    </row>
    <row r="553" spans="2:17" ht="15.6" outlineLevel="2">
      <c r="B553" s="793"/>
      <c r="C553" s="848"/>
      <c r="D553" s="794">
        <v>2</v>
      </c>
      <c r="E553" s="812" t="s">
        <v>649</v>
      </c>
      <c r="F553" s="795"/>
      <c r="G553" s="817"/>
      <c r="H553" s="797">
        <f>RAB!H551</f>
        <v>8</v>
      </c>
      <c r="I553" s="797" t="str">
        <f>RAB!I551</f>
        <v>M2</v>
      </c>
      <c r="J553" s="797" t="str">
        <f>RAB!J551</f>
        <v>Hit. PL. PVC</v>
      </c>
      <c r="K553" s="804" t="str">
        <f>VLOOKUP(J553,RKPANL!B:D,2,0)</f>
        <v xml:space="preserve">Pemasangan 1 m2 langit-langit Pvc t 8mm </v>
      </c>
      <c r="L553" s="800">
        <f>VLOOKUP(J553,RKPANL!B:D,3,0)</f>
        <v>153475</v>
      </c>
      <c r="M553" s="1061">
        <f>L553*H553</f>
        <v>1227800</v>
      </c>
      <c r="N553" s="800"/>
      <c r="O553" s="1127">
        <v>0.87039999999999995</v>
      </c>
      <c r="P553" s="800">
        <f>M553*O553</f>
        <v>1068677.1199999999</v>
      </c>
      <c r="Q553" s="1068">
        <f>M553-P553</f>
        <v>159122.88000000012</v>
      </c>
    </row>
    <row r="554" spans="2:17" ht="15.6" outlineLevel="2">
      <c r="B554" s="793"/>
      <c r="C554" s="848"/>
      <c r="D554" s="794">
        <v>3</v>
      </c>
      <c r="E554" s="812" t="s">
        <v>463</v>
      </c>
      <c r="F554" s="795"/>
      <c r="G554" s="817"/>
      <c r="H554" s="797">
        <f>RAB!H552</f>
        <v>16</v>
      </c>
      <c r="I554" s="797" t="str">
        <f>RAB!I552</f>
        <v>M'</v>
      </c>
      <c r="J554" s="797" t="str">
        <f>RAB!J552</f>
        <v>Hit.  Lis. PVC</v>
      </c>
      <c r="K554" s="804" t="str">
        <f>VLOOKUP(J554,RKPANL!B:D,2,0)</f>
        <v xml:space="preserve">Pemasangan 1 m' List plafond PVC </v>
      </c>
      <c r="L554" s="800">
        <f>VLOOKUP(J554,RKPANL!B:D,3,0)</f>
        <v>44020.75</v>
      </c>
      <c r="M554" s="1061">
        <f>L554*H554</f>
        <v>704332</v>
      </c>
      <c r="N554" s="800"/>
      <c r="O554" s="1127">
        <v>0.94579999999999997</v>
      </c>
      <c r="P554" s="800">
        <f>M554*O554</f>
        <v>666157.20559999999</v>
      </c>
      <c r="Q554" s="1068">
        <f>M554-P554</f>
        <v>38174.794400000013</v>
      </c>
    </row>
    <row r="555" spans="2:17" ht="15.6" outlineLevel="2">
      <c r="B555" s="851"/>
      <c r="C555" s="848"/>
      <c r="D555" s="794"/>
      <c r="E555" s="794"/>
      <c r="F555" s="795"/>
      <c r="G555" s="817"/>
      <c r="H555" s="797"/>
      <c r="I555" s="798"/>
      <c r="J555" s="798"/>
      <c r="K555" s="804"/>
      <c r="L555" s="800"/>
      <c r="M555" s="1061"/>
      <c r="N555" s="800"/>
      <c r="O555" s="841"/>
      <c r="P555" s="800"/>
      <c r="Q555" s="1068"/>
    </row>
    <row r="556" spans="2:17" ht="15.6" outlineLevel="2">
      <c r="B556" s="793"/>
      <c r="C556" s="848" t="s">
        <v>19</v>
      </c>
      <c r="D556" s="696" t="s">
        <v>467</v>
      </c>
      <c r="E556" s="849"/>
      <c r="F556" s="795"/>
      <c r="G556" s="817"/>
      <c r="H556" s="797"/>
      <c r="I556" s="798"/>
      <c r="J556" s="798"/>
      <c r="K556" s="804"/>
      <c r="L556" s="800"/>
      <c r="M556" s="1061"/>
      <c r="N556" s="800"/>
      <c r="O556" s="841"/>
      <c r="P556" s="800"/>
      <c r="Q556" s="1068"/>
    </row>
    <row r="557" spans="2:17" ht="15.6" outlineLevel="2">
      <c r="B557" s="793"/>
      <c r="C557" s="848"/>
      <c r="D557" s="794">
        <v>1</v>
      </c>
      <c r="E557" s="812" t="s">
        <v>475</v>
      </c>
      <c r="F557" s="795"/>
      <c r="G557" s="817"/>
      <c r="H557" s="797">
        <f>RAB!H555</f>
        <v>1</v>
      </c>
      <c r="I557" s="797" t="str">
        <f>RAB!I555</f>
        <v>Unit</v>
      </c>
      <c r="J557" s="797" t="str">
        <f>RAB!J555</f>
        <v>A.5.1.1.1.</v>
      </c>
      <c r="K557" s="804" t="str">
        <f>VLOOKUP(J557,RKPANL!B:D,2,0)</f>
        <v>Pemasangan 1 buah closet duduk/monoblock</v>
      </c>
      <c r="L557" s="800">
        <f>VLOOKUP(J557,RKPANL!B:D,3,0)</f>
        <v>5594750</v>
      </c>
      <c r="M557" s="1061">
        <f t="shared" ref="M557:M563" si="53">L557*H557</f>
        <v>5594750</v>
      </c>
      <c r="N557" s="800"/>
      <c r="O557" s="1127">
        <v>0.53490000000000004</v>
      </c>
      <c r="P557" s="800">
        <f t="shared" ref="P557:P563" si="54">M557*O557</f>
        <v>2992631.7750000004</v>
      </c>
      <c r="Q557" s="1068">
        <f t="shared" ref="Q557:Q563" si="55">M557-P557</f>
        <v>2602118.2249999996</v>
      </c>
    </row>
    <row r="558" spans="2:17" ht="15.6" outlineLevel="2">
      <c r="B558" s="793"/>
      <c r="C558" s="848"/>
      <c r="D558" s="794">
        <v>2</v>
      </c>
      <c r="E558" s="812" t="s">
        <v>474</v>
      </c>
      <c r="F558" s="795"/>
      <c r="G558" s="817"/>
      <c r="H558" s="797">
        <f>RAB!H556</f>
        <v>1</v>
      </c>
      <c r="I558" s="797" t="str">
        <f>RAB!I556</f>
        <v>Unit</v>
      </c>
      <c r="J558" s="797" t="str">
        <f>RAB!J556</f>
        <v>A.5.1.1 5.</v>
      </c>
      <c r="K558" s="804" t="str">
        <f>VLOOKUP(J558,RKPANL!B:D,2,0)</f>
        <v>Pemasangan 1 buah wastafel</v>
      </c>
      <c r="L558" s="800">
        <f>VLOOKUP(J558,RKPANL!B:D,3,0)</f>
        <v>2767705</v>
      </c>
      <c r="M558" s="1061">
        <f t="shared" si="53"/>
        <v>2767705</v>
      </c>
      <c r="N558" s="800"/>
      <c r="O558" s="1127">
        <v>0.74150000000000005</v>
      </c>
      <c r="P558" s="800">
        <f t="shared" si="54"/>
        <v>2052253.2575000001</v>
      </c>
      <c r="Q558" s="1068">
        <f t="shared" si="55"/>
        <v>715451.74249999993</v>
      </c>
    </row>
    <row r="559" spans="2:17" ht="15.6" outlineLevel="2">
      <c r="B559" s="793"/>
      <c r="C559" s="848"/>
      <c r="D559" s="794">
        <v>3</v>
      </c>
      <c r="E559" s="812" t="s">
        <v>470</v>
      </c>
      <c r="F559" s="795"/>
      <c r="G559" s="817"/>
      <c r="H559" s="797">
        <f>RAB!H557</f>
        <v>1</v>
      </c>
      <c r="I559" s="797" t="str">
        <f>RAB!I557</f>
        <v>Unit</v>
      </c>
      <c r="J559" s="797" t="str">
        <f>RAB!J557</f>
        <v>A.5.1.1 6.</v>
      </c>
      <c r="K559" s="804" t="str">
        <f>VLOOKUP(J559,RKPANL!B:D,2,0)</f>
        <v>Pemasangan 1 buah Urinoir</v>
      </c>
      <c r="L559" s="800">
        <f>VLOOKUP(J559,RKPANL!B:D,3,0)</f>
        <v>4285705</v>
      </c>
      <c r="M559" s="1061">
        <f t="shared" si="53"/>
        <v>4285705</v>
      </c>
      <c r="N559" s="800"/>
      <c r="O559" s="1127">
        <v>0.65259999999999996</v>
      </c>
      <c r="P559" s="800">
        <f t="shared" si="54"/>
        <v>2796851.0829999996</v>
      </c>
      <c r="Q559" s="1068">
        <f t="shared" si="55"/>
        <v>1488853.9170000004</v>
      </c>
    </row>
    <row r="560" spans="2:17" ht="15.6" outlineLevel="2">
      <c r="B560" s="793"/>
      <c r="C560" s="848"/>
      <c r="D560" s="794">
        <v>4</v>
      </c>
      <c r="E560" s="812" t="s">
        <v>418</v>
      </c>
      <c r="F560" s="795"/>
      <c r="G560" s="817"/>
      <c r="H560" s="797">
        <f>RAB!H558</f>
        <v>1</v>
      </c>
      <c r="I560" s="797" t="str">
        <f>RAB!I558</f>
        <v>Unit</v>
      </c>
      <c r="J560" s="797" t="str">
        <f>RAB!J558</f>
        <v>A.5.1.1.14.</v>
      </c>
      <c r="K560" s="804" t="str">
        <f>VLOOKUP(J560,RKPANL!B:D,2,0)</f>
        <v>Pemasangan 1 buah floor drain</v>
      </c>
      <c r="L560" s="800">
        <f>VLOOKUP(J560,RKPANL!B:D,3,0)</f>
        <v>161028.75</v>
      </c>
      <c r="M560" s="1061">
        <f t="shared" si="53"/>
        <v>161028.75</v>
      </c>
      <c r="N560" s="800"/>
      <c r="O560" s="1127">
        <v>0.60099999999999998</v>
      </c>
      <c r="P560" s="800">
        <f t="shared" si="54"/>
        <v>96778.278749999998</v>
      </c>
      <c r="Q560" s="1068">
        <f t="shared" si="55"/>
        <v>64250.471250000002</v>
      </c>
    </row>
    <row r="561" spans="2:17" ht="15.6" outlineLevel="2">
      <c r="B561" s="793"/>
      <c r="C561" s="848"/>
      <c r="D561" s="794">
        <v>5</v>
      </c>
      <c r="E561" s="812" t="s">
        <v>471</v>
      </c>
      <c r="F561" s="795"/>
      <c r="G561" s="817"/>
      <c r="H561" s="797">
        <f>RAB!H559</f>
        <v>1</v>
      </c>
      <c r="I561" s="797" t="str">
        <f>RAB!I559</f>
        <v>Bh</v>
      </c>
      <c r="J561" s="797" t="str">
        <f>RAB!J559</f>
        <v>Hit. SAN. 04</v>
      </c>
      <c r="K561" s="804" t="str">
        <f>VLOOKUP(J561,RKPANL!B:D,2,0)</f>
        <v>Pemasangan 1 buah Tempat Sabun</v>
      </c>
      <c r="L561" s="800">
        <f>VLOOKUP(J561,RKPANL!B:D,3,0)</f>
        <v>256593.75</v>
      </c>
      <c r="M561" s="1061">
        <f t="shared" si="53"/>
        <v>256593.75</v>
      </c>
      <c r="N561" s="800"/>
      <c r="O561" s="1127">
        <v>1</v>
      </c>
      <c r="P561" s="800">
        <f t="shared" si="54"/>
        <v>256593.75</v>
      </c>
      <c r="Q561" s="1068">
        <f t="shared" si="55"/>
        <v>0</v>
      </c>
    </row>
    <row r="562" spans="2:17" ht="15.6" outlineLevel="2">
      <c r="B562" s="793"/>
      <c r="C562" s="848"/>
      <c r="D562" s="794">
        <v>6</v>
      </c>
      <c r="E562" s="812" t="s">
        <v>472</v>
      </c>
      <c r="F562" s="795"/>
      <c r="G562" s="817"/>
      <c r="H562" s="797">
        <f>RAB!H560</f>
        <v>1</v>
      </c>
      <c r="I562" s="797" t="str">
        <f>RAB!I560</f>
        <v>Set</v>
      </c>
      <c r="J562" s="797" t="str">
        <f>RAB!J560</f>
        <v>Hit. SAN. 01</v>
      </c>
      <c r="K562" s="804" t="str">
        <f>VLOOKUP(J562,RKPANL!B:D,2,0)</f>
        <v>Pemasangan 1 buah Shower Kran Bidet</v>
      </c>
      <c r="L562" s="800">
        <f>VLOOKUP(J562,RKPANL!B:D,3,0)</f>
        <v>268093.75</v>
      </c>
      <c r="M562" s="1061">
        <f t="shared" si="53"/>
        <v>268093.75</v>
      </c>
      <c r="N562" s="800"/>
      <c r="O562" s="1127">
        <v>0.39439999999999997</v>
      </c>
      <c r="P562" s="800">
        <f t="shared" si="54"/>
        <v>105736.17499999999</v>
      </c>
      <c r="Q562" s="1068">
        <f t="shared" si="55"/>
        <v>162357.57500000001</v>
      </c>
    </row>
    <row r="563" spans="2:17" ht="15.6" outlineLevel="2">
      <c r="B563" s="793"/>
      <c r="C563" s="848"/>
      <c r="D563" s="794">
        <v>7</v>
      </c>
      <c r="E563" s="856" t="s">
        <v>416</v>
      </c>
      <c r="F563" s="795"/>
      <c r="G563" s="817"/>
      <c r="H563" s="797">
        <f>RAB!H561</f>
        <v>1</v>
      </c>
      <c r="I563" s="797" t="str">
        <f>RAB!I561</f>
        <v>Set</v>
      </c>
      <c r="J563" s="797" t="str">
        <f>RAB!J561</f>
        <v>A.5.1.1.19.</v>
      </c>
      <c r="K563" s="804" t="str">
        <f>VLOOKUP(J563,RKPANL!B:D,2,0)</f>
        <v>Pemasangan 1 buah kran diameter ½” atau ¾ ”</v>
      </c>
      <c r="L563" s="800">
        <f>VLOOKUP(J563,RKPANL!B:D,3,0)</f>
        <v>141881.25</v>
      </c>
      <c r="M563" s="1061">
        <f t="shared" si="53"/>
        <v>141881.25</v>
      </c>
      <c r="N563" s="800"/>
      <c r="O563" s="1127">
        <v>0.98880000000000001</v>
      </c>
      <c r="P563" s="800">
        <f t="shared" si="54"/>
        <v>140292.18</v>
      </c>
      <c r="Q563" s="1068">
        <f t="shared" si="55"/>
        <v>1589.070000000007</v>
      </c>
    </row>
    <row r="564" spans="2:17" ht="15.6" outlineLevel="2">
      <c r="B564" s="851"/>
      <c r="C564" s="848"/>
      <c r="D564" s="794"/>
      <c r="E564" s="794"/>
      <c r="F564" s="795"/>
      <c r="G564" s="817"/>
      <c r="H564" s="797"/>
      <c r="I564" s="798"/>
      <c r="J564" s="798"/>
      <c r="K564" s="804"/>
      <c r="L564" s="800"/>
      <c r="M564" s="1061"/>
      <c r="N564" s="800"/>
      <c r="O564" s="841"/>
      <c r="P564" s="800"/>
      <c r="Q564" s="1068"/>
    </row>
    <row r="565" spans="2:17" ht="15.6" outlineLevel="2">
      <c r="B565" s="793"/>
      <c r="C565" s="848" t="s">
        <v>404</v>
      </c>
      <c r="D565" s="696" t="s">
        <v>289</v>
      </c>
      <c r="E565" s="849"/>
      <c r="F565" s="795"/>
      <c r="G565" s="817"/>
      <c r="H565" s="797"/>
      <c r="I565" s="798"/>
      <c r="J565" s="798"/>
      <c r="K565" s="804"/>
      <c r="L565" s="800"/>
      <c r="M565" s="1061"/>
      <c r="N565" s="800"/>
      <c r="O565" s="841"/>
      <c r="P565" s="800"/>
      <c r="Q565" s="1068"/>
    </row>
    <row r="566" spans="2:17" outlineLevel="2">
      <c r="B566" s="793"/>
      <c r="C566" s="802"/>
      <c r="D566" s="850">
        <v>1</v>
      </c>
      <c r="E566" s="845" t="s">
        <v>900</v>
      </c>
      <c r="F566" s="795"/>
      <c r="G566" s="796"/>
      <c r="H566" s="797">
        <f>RAB!H564</f>
        <v>2</v>
      </c>
      <c r="I566" s="797" t="str">
        <f>RAB!I564</f>
        <v>Titik</v>
      </c>
      <c r="J566" s="797" t="str">
        <f>RAB!J564</f>
        <v>Hit. EL.1</v>
      </c>
      <c r="K566" s="804" t="str">
        <f>VLOOKUP(J566,RKPANL!B:D,2,0)</f>
        <v>Pasang 1 Titik Instalasi Penerangan dan Stop Kontak dengan Kabel NYA 2x2,5 mm</v>
      </c>
      <c r="L566" s="800">
        <f>VLOOKUP(J566,RKPANL!B:D,3,0)</f>
        <v>232084.375</v>
      </c>
      <c r="M566" s="1061">
        <f>L566*H566</f>
        <v>464168.75</v>
      </c>
      <c r="N566" s="800"/>
      <c r="O566" s="1127">
        <v>0.95079999999999998</v>
      </c>
      <c r="P566" s="800">
        <f>M566*O566</f>
        <v>441331.64749999996</v>
      </c>
      <c r="Q566" s="1068">
        <f>M566-P566</f>
        <v>22837.102500000037</v>
      </c>
    </row>
    <row r="567" spans="2:17" ht="15.6" outlineLevel="2">
      <c r="B567" s="793"/>
      <c r="C567" s="848"/>
      <c r="D567" s="794">
        <v>2</v>
      </c>
      <c r="E567" s="845" t="s">
        <v>842</v>
      </c>
      <c r="F567" s="795"/>
      <c r="G567" s="817"/>
      <c r="H567" s="797">
        <f>RAB!H565</f>
        <v>2</v>
      </c>
      <c r="I567" s="797" t="str">
        <f>RAB!I565</f>
        <v>Unit</v>
      </c>
      <c r="J567" s="797" t="str">
        <f>RAB!J565</f>
        <v>Hit. EL.7</v>
      </c>
      <c r="K567" s="804" t="str">
        <f>VLOOKUP(J567,RKPANL!B:D,2,0)</f>
        <v>Pasang 1 buah Lampu LED 7 watt + Fitting Down Light</v>
      </c>
      <c r="L567" s="800">
        <f>VLOOKUP(J567,RKPANL!B:D,3,0)</f>
        <v>121813.75</v>
      </c>
      <c r="M567" s="1061">
        <f>L567*H567</f>
        <v>243627.5</v>
      </c>
      <c r="N567" s="800"/>
      <c r="O567" s="1127">
        <v>1</v>
      </c>
      <c r="P567" s="800">
        <f>M567*O567</f>
        <v>243627.5</v>
      </c>
      <c r="Q567" s="1068">
        <f>M567-P567</f>
        <v>0</v>
      </c>
    </row>
    <row r="568" spans="2:17" ht="15.6" outlineLevel="2">
      <c r="B568" s="793"/>
      <c r="C568" s="848"/>
      <c r="D568" s="794">
        <v>3</v>
      </c>
      <c r="E568" s="826" t="s">
        <v>732</v>
      </c>
      <c r="F568" s="795"/>
      <c r="G568" s="817"/>
      <c r="H568" s="797">
        <f>RAB!H566</f>
        <v>1</v>
      </c>
      <c r="I568" s="797" t="str">
        <f>RAB!I566</f>
        <v>Set</v>
      </c>
      <c r="J568" s="797" t="str">
        <f>RAB!J566</f>
        <v>Hit. EL.4</v>
      </c>
      <c r="K568" s="804" t="str">
        <f>VLOOKUP(J568,RKPANL!B:D,2,0)</f>
        <v>Pasang 1 Set Saklar Ganda</v>
      </c>
      <c r="L568" s="800">
        <f>VLOOKUP(J568,RKPANL!B:D,3,0)</f>
        <v>105713.75</v>
      </c>
      <c r="M568" s="1061">
        <f>L568*H568</f>
        <v>105713.75</v>
      </c>
      <c r="N568" s="800"/>
      <c r="O568" s="1127">
        <v>0.58850000000000002</v>
      </c>
      <c r="P568" s="800">
        <f>M568*O568</f>
        <v>62212.541875000003</v>
      </c>
      <c r="Q568" s="1068">
        <f>M568-P568</f>
        <v>43501.208124999997</v>
      </c>
    </row>
    <row r="569" spans="2:17" ht="15.6" outlineLevel="2">
      <c r="B569" s="851"/>
      <c r="C569" s="848"/>
      <c r="D569" s="794"/>
      <c r="E569" s="794"/>
      <c r="F569" s="795"/>
      <c r="G569" s="817"/>
      <c r="H569" s="797"/>
      <c r="I569" s="798"/>
      <c r="J569" s="798"/>
      <c r="K569" s="804"/>
      <c r="L569" s="800"/>
      <c r="M569" s="1061"/>
      <c r="N569" s="800"/>
      <c r="O569" s="841"/>
      <c r="P569" s="800"/>
      <c r="Q569" s="1068"/>
    </row>
    <row r="570" spans="2:17" ht="15.6" outlineLevel="2">
      <c r="B570" s="793"/>
      <c r="C570" s="848" t="s">
        <v>560</v>
      </c>
      <c r="D570" s="696" t="s">
        <v>634</v>
      </c>
      <c r="E570" s="849"/>
      <c r="F570" s="795"/>
      <c r="G570" s="817"/>
      <c r="H570" s="797"/>
      <c r="I570" s="798"/>
      <c r="J570" s="798"/>
      <c r="K570" s="804"/>
      <c r="L570" s="800"/>
      <c r="M570" s="1061"/>
      <c r="N570" s="800"/>
      <c r="O570" s="841"/>
      <c r="P570" s="800"/>
      <c r="Q570" s="1068"/>
    </row>
    <row r="571" spans="2:17" ht="15.6" outlineLevel="2">
      <c r="B571" s="793"/>
      <c r="C571" s="848"/>
      <c r="D571" s="794">
        <v>1</v>
      </c>
      <c r="E571" s="812" t="s">
        <v>476</v>
      </c>
      <c r="F571" s="795"/>
      <c r="G571" s="817"/>
      <c r="H571" s="797">
        <f>RAB!H569</f>
        <v>12</v>
      </c>
      <c r="I571" s="797" t="str">
        <f>RAB!I569</f>
        <v>M'</v>
      </c>
      <c r="J571" s="797" t="str">
        <f>RAB!J569</f>
        <v>A.5.1.1 25.</v>
      </c>
      <c r="K571" s="804" t="str">
        <f>VLOOKUP(J571,RKPANL!B:D,2,0)</f>
        <v>Pemasangan 1 m’ pipa PVC tipe AW diameter ½ ”</v>
      </c>
      <c r="L571" s="800">
        <f>VLOOKUP(J571,RKPANL!B:D,3,0)</f>
        <v>41465.166666666672</v>
      </c>
      <c r="M571" s="1061">
        <f>L571*H571</f>
        <v>497582.00000000006</v>
      </c>
      <c r="N571" s="800"/>
      <c r="O571" s="1127">
        <v>0.72660000000000002</v>
      </c>
      <c r="P571" s="800">
        <f>M571*O571</f>
        <v>361543.08120000007</v>
      </c>
      <c r="Q571" s="1068">
        <f>M571-P571</f>
        <v>136038.91879999998</v>
      </c>
    </row>
    <row r="572" spans="2:17" ht="15.6" outlineLevel="2">
      <c r="B572" s="793"/>
      <c r="C572" s="848"/>
      <c r="D572" s="794">
        <v>2</v>
      </c>
      <c r="E572" s="812" t="s">
        <v>477</v>
      </c>
      <c r="F572" s="795"/>
      <c r="G572" s="817"/>
      <c r="H572" s="797">
        <f>RAB!H570</f>
        <v>12</v>
      </c>
      <c r="I572" s="797" t="str">
        <f>RAB!I570</f>
        <v>M'</v>
      </c>
      <c r="J572" s="797" t="str">
        <f>RAB!J570</f>
        <v>A.5.1.1 27.</v>
      </c>
      <c r="K572" s="804" t="str">
        <f>VLOOKUP(J572,RKPANL!B:D,2,0)</f>
        <v>Pemasangan 1 m’ pipa PVC tipe AW diameter 1”</v>
      </c>
      <c r="L572" s="800">
        <f>VLOOKUP(J572,RKPANL!B:D,3,0)</f>
        <v>44372.75</v>
      </c>
      <c r="M572" s="1061">
        <f>L572*H572</f>
        <v>532473</v>
      </c>
      <c r="N572" s="800"/>
      <c r="O572" s="1127">
        <v>0.72660000000000002</v>
      </c>
      <c r="P572" s="800">
        <f>M572*O572</f>
        <v>386894.88180000003</v>
      </c>
      <c r="Q572" s="1068">
        <f>M572-P572</f>
        <v>145578.11819999997</v>
      </c>
    </row>
    <row r="573" spans="2:17" ht="15.6" outlineLevel="2">
      <c r="B573" s="793"/>
      <c r="C573" s="848"/>
      <c r="D573" s="794">
        <v>3</v>
      </c>
      <c r="E573" s="812" t="s">
        <v>478</v>
      </c>
      <c r="F573" s="795"/>
      <c r="G573" s="817"/>
      <c r="H573" s="797">
        <f>RAB!H571</f>
        <v>12</v>
      </c>
      <c r="I573" s="797" t="str">
        <f>RAB!I571</f>
        <v>M'</v>
      </c>
      <c r="J573" s="797" t="str">
        <f>RAB!J571</f>
        <v>A.5.1.1 29.</v>
      </c>
      <c r="K573" s="804" t="str">
        <f>VLOOKUP(J573,RKPANL!B:D,2,0)</f>
        <v>Pemasangan 1 m’ pipa PVC tipe AW diameter 2”</v>
      </c>
      <c r="L573" s="800">
        <f>VLOOKUP(J573,RKPANL!B:D,3,0)</f>
        <v>71110.25</v>
      </c>
      <c r="M573" s="1061">
        <f>L573*H573</f>
        <v>853323</v>
      </c>
      <c r="N573" s="800"/>
      <c r="O573" s="1127">
        <v>0.72660000000000002</v>
      </c>
      <c r="P573" s="800">
        <f>M573*O573</f>
        <v>620024.49180000008</v>
      </c>
      <c r="Q573" s="1068">
        <f>M573-P573</f>
        <v>233298.50819999992</v>
      </c>
    </row>
    <row r="574" spans="2:17" ht="15.6" outlineLevel="2">
      <c r="B574" s="793"/>
      <c r="C574" s="848"/>
      <c r="D574" s="794">
        <v>4</v>
      </c>
      <c r="E574" s="812" t="s">
        <v>698</v>
      </c>
      <c r="F574" s="795"/>
      <c r="G574" s="817"/>
      <c r="H574" s="797">
        <f>RAB!H572</f>
        <v>12</v>
      </c>
      <c r="I574" s="797" t="str">
        <f>RAB!I572</f>
        <v>Unit</v>
      </c>
      <c r="J574" s="797" t="str">
        <f>RAB!J572</f>
        <v>A.5.1.1 31.</v>
      </c>
      <c r="K574" s="804" t="str">
        <f>VLOOKUP(J574,RKPANL!B:D,2,0)</f>
        <v>Pemasangan 1 m’ pipa PVC tipe AW diameter 3”</v>
      </c>
      <c r="L574" s="800">
        <f>VLOOKUP(J574,RKPANL!B:D,3,0)</f>
        <v>100818.58333333333</v>
      </c>
      <c r="M574" s="1061">
        <f>L574*H574</f>
        <v>1209823</v>
      </c>
      <c r="N574" s="800"/>
      <c r="O574" s="1127">
        <v>0.72660000000000002</v>
      </c>
      <c r="P574" s="800">
        <f>M574*O574</f>
        <v>879057.39179999998</v>
      </c>
      <c r="Q574" s="1068">
        <f>M574-P574</f>
        <v>330765.60820000002</v>
      </c>
    </row>
    <row r="575" spans="2:17" ht="15.6" outlineLevel="2">
      <c r="B575" s="793"/>
      <c r="C575" s="848"/>
      <c r="D575" s="794">
        <v>5</v>
      </c>
      <c r="E575" s="812" t="s">
        <v>479</v>
      </c>
      <c r="F575" s="795"/>
      <c r="G575" s="817"/>
      <c r="H575" s="797">
        <f>RAB!H573</f>
        <v>1</v>
      </c>
      <c r="I575" s="797" t="str">
        <f>RAB!I573</f>
        <v>Unit</v>
      </c>
      <c r="J575" s="797" t="str">
        <f>RAB!J573</f>
        <v>Taksir</v>
      </c>
      <c r="K575" s="804" t="e">
        <f>VLOOKUP(J575,RKPANL!B:D,2,0)</f>
        <v>#N/A</v>
      </c>
      <c r="L575" s="800">
        <f>RAB!L573</f>
        <v>500000</v>
      </c>
      <c r="M575" s="1061">
        <f>L575*H575</f>
        <v>500000</v>
      </c>
      <c r="N575" s="800"/>
      <c r="O575" s="1127">
        <v>1</v>
      </c>
      <c r="P575" s="800">
        <f>M575*O575</f>
        <v>500000</v>
      </c>
      <c r="Q575" s="1068">
        <f>M575-P575</f>
        <v>0</v>
      </c>
    </row>
    <row r="576" spans="2:17" ht="15.6" outlineLevel="2">
      <c r="B576" s="851"/>
      <c r="C576" s="848"/>
      <c r="D576" s="794"/>
      <c r="E576" s="794"/>
      <c r="F576" s="795"/>
      <c r="G576" s="817"/>
      <c r="H576" s="797"/>
      <c r="I576" s="798"/>
      <c r="J576" s="798"/>
      <c r="K576" s="804"/>
      <c r="L576" s="800"/>
      <c r="M576" s="1061"/>
      <c r="N576" s="800"/>
      <c r="O576" s="841"/>
      <c r="P576" s="800"/>
      <c r="Q576" s="1068"/>
    </row>
    <row r="577" spans="2:19" ht="15.6" outlineLevel="2">
      <c r="B577" s="793"/>
      <c r="C577" s="848" t="s">
        <v>568</v>
      </c>
      <c r="D577" s="696" t="s">
        <v>422</v>
      </c>
      <c r="E577" s="849"/>
      <c r="F577" s="795"/>
      <c r="G577" s="817"/>
      <c r="H577" s="797"/>
      <c r="I577" s="798"/>
      <c r="J577" s="798"/>
      <c r="K577" s="804"/>
      <c r="L577" s="800"/>
      <c r="M577" s="1061"/>
      <c r="N577" s="800"/>
      <c r="O577" s="841"/>
      <c r="P577" s="800"/>
      <c r="Q577" s="1068"/>
    </row>
    <row r="578" spans="2:19" ht="15.6" outlineLevel="2">
      <c r="B578" s="793"/>
      <c r="C578" s="848"/>
      <c r="D578" s="850">
        <v>1</v>
      </c>
      <c r="E578" s="845" t="s">
        <v>919</v>
      </c>
      <c r="F578" s="795"/>
      <c r="G578" s="817"/>
      <c r="H578" s="797">
        <f>RAB!H576</f>
        <v>48</v>
      </c>
      <c r="I578" s="797" t="str">
        <f>RAB!I576</f>
        <v>M2</v>
      </c>
      <c r="J578" s="797" t="str">
        <f>RAB!J576</f>
        <v>A.4.7.1.10.</v>
      </c>
      <c r="K578" s="804" t="str">
        <f>VLOOKUP(J578,RKPANL!B:D,2,0)</f>
        <v>Pengecatan 1 m2 tembok baru (1 lapis plamuur, 1 lapis cat dasar, 2
lapis cat penutup)</v>
      </c>
      <c r="L578" s="800">
        <f>VLOOKUP(J578,RKPANL!B:D,3,0)</f>
        <v>55114.9</v>
      </c>
      <c r="M578" s="1061">
        <f>L578*H578</f>
        <v>2645515.2000000002</v>
      </c>
      <c r="N578" s="800"/>
      <c r="O578" s="1127">
        <v>0.70269999999999999</v>
      </c>
      <c r="P578" s="800">
        <f>M578*O578</f>
        <v>1859003.53104</v>
      </c>
      <c r="Q578" s="1068">
        <f>M578-P578</f>
        <v>786511.66896000016</v>
      </c>
    </row>
    <row r="579" spans="2:19" outlineLevel="2">
      <c r="B579" s="793"/>
      <c r="C579" s="802"/>
      <c r="D579" s="794"/>
      <c r="E579" s="795"/>
      <c r="F579" s="795"/>
      <c r="G579" s="796"/>
      <c r="H579" s="797"/>
      <c r="I579" s="798"/>
      <c r="J579" s="798"/>
      <c r="K579" s="806"/>
      <c r="L579" s="800"/>
      <c r="M579" s="1061"/>
      <c r="N579" s="800"/>
      <c r="O579" s="841"/>
      <c r="P579" s="800"/>
      <c r="Q579" s="1068"/>
    </row>
    <row r="580" spans="2:19" s="1098" customFormat="1" ht="21.6" customHeight="1">
      <c r="B580" s="1115"/>
      <c r="C580" s="1104"/>
      <c r="D580" s="1104"/>
      <c r="E580" s="1104"/>
      <c r="F580" s="1104"/>
      <c r="G580" s="1104"/>
      <c r="H580" s="1104"/>
      <c r="I580" s="1104"/>
      <c r="J580" s="1104"/>
      <c r="K580" s="1272" t="s">
        <v>507</v>
      </c>
      <c r="L580" s="1272"/>
      <c r="M580" s="1105"/>
      <c r="N580" s="1106">
        <f>SUM(M532:M578)</f>
        <v>65035741.949368</v>
      </c>
      <c r="O580" s="1124"/>
      <c r="P580" s="1106">
        <f t="shared" ref="P580:Q580" si="56">SUM(P532:P579)</f>
        <v>55842121.37649446</v>
      </c>
      <c r="Q580" s="1186">
        <f t="shared" si="56"/>
        <v>9193620.5728735309</v>
      </c>
      <c r="S580" s="1114"/>
    </row>
    <row r="581" spans="2:19" ht="15.6">
      <c r="B581" s="851" t="s">
        <v>502</v>
      </c>
      <c r="C581" s="1185" t="s">
        <v>585</v>
      </c>
      <c r="E581" s="875"/>
      <c r="F581" s="795"/>
      <c r="G581" s="796"/>
      <c r="H581" s="797"/>
      <c r="I581" s="798"/>
      <c r="J581" s="798"/>
      <c r="K581" s="876"/>
      <c r="L581" s="877"/>
      <c r="M581" s="1060"/>
      <c r="N581" s="877"/>
      <c r="O581" s="895"/>
      <c r="P581" s="877"/>
      <c r="Q581" s="1067"/>
    </row>
    <row r="582" spans="2:19" outlineLevel="2">
      <c r="B582" s="793"/>
      <c r="C582" s="802"/>
      <c r="D582" s="794">
        <v>1</v>
      </c>
      <c r="E582" s="795" t="s">
        <v>941</v>
      </c>
      <c r="F582" s="795"/>
      <c r="G582" s="796"/>
      <c r="H582" s="797">
        <f>RAB!H580</f>
        <v>1</v>
      </c>
      <c r="I582" s="797" t="str">
        <f>RAB!I580</f>
        <v>Ls</v>
      </c>
      <c r="J582" s="797" t="str">
        <f>RAB!J580</f>
        <v>Taksir</v>
      </c>
      <c r="K582" s="804" t="e">
        <f>VLOOKUP(J582,RKPANL!B:D,2,0)</f>
        <v>#N/A</v>
      </c>
      <c r="L582" s="800">
        <f>RAB!L580</f>
        <v>2000000</v>
      </c>
      <c r="M582" s="1061">
        <f t="shared" ref="M582" si="57">L582*H582</f>
        <v>2000000</v>
      </c>
      <c r="N582" s="800"/>
      <c r="O582" s="1127">
        <v>1</v>
      </c>
      <c r="P582" s="800">
        <f t="shared" ref="P582" si="58">M582*O582</f>
        <v>2000000</v>
      </c>
      <c r="Q582" s="1068">
        <f t="shared" ref="Q582" si="59">M582-P582</f>
        <v>0</v>
      </c>
    </row>
    <row r="583" spans="2:19" outlineLevel="2">
      <c r="B583" s="793"/>
      <c r="C583" s="802"/>
      <c r="D583" s="794"/>
      <c r="E583" s="795"/>
      <c r="F583" s="795"/>
      <c r="G583" s="796"/>
      <c r="H583" s="797"/>
      <c r="I583" s="797"/>
      <c r="J583" s="797"/>
      <c r="K583" s="806"/>
      <c r="L583" s="800"/>
      <c r="M583" s="1061"/>
      <c r="N583" s="800"/>
      <c r="O583" s="841"/>
      <c r="P583" s="800"/>
      <c r="Q583" s="1068"/>
    </row>
    <row r="584" spans="2:19" s="1098" customFormat="1" ht="21.6" customHeight="1">
      <c r="B584" s="1115"/>
      <c r="C584" s="1104"/>
      <c r="D584" s="1104"/>
      <c r="E584" s="1104"/>
      <c r="F584" s="1104"/>
      <c r="G584" s="1104"/>
      <c r="H584" s="1104"/>
      <c r="I584" s="1104"/>
      <c r="J584" s="1104"/>
      <c r="K584" s="1272" t="s">
        <v>508</v>
      </c>
      <c r="L584" s="1272"/>
      <c r="M584" s="1105"/>
      <c r="N584" s="1106">
        <f>SUM(M582:M582)</f>
        <v>2000000</v>
      </c>
      <c r="O584" s="1124"/>
      <c r="P584" s="1106">
        <f>SUM(P582:P583)</f>
        <v>2000000</v>
      </c>
      <c r="Q584" s="1186">
        <f>SUM(Q582:Q583)</f>
        <v>0</v>
      </c>
      <c r="S584" s="1114"/>
    </row>
    <row r="585" spans="2:19" ht="15.6">
      <c r="B585" s="851" t="s">
        <v>590</v>
      </c>
      <c r="C585" s="1185" t="s">
        <v>586</v>
      </c>
      <c r="E585" s="875"/>
      <c r="F585" s="795"/>
      <c r="G585" s="796"/>
      <c r="H585" s="797"/>
      <c r="I585" s="798"/>
      <c r="J585" s="798"/>
      <c r="K585" s="876"/>
      <c r="L585" s="877"/>
      <c r="M585" s="1060"/>
      <c r="N585" s="877"/>
      <c r="O585" s="895"/>
      <c r="P585" s="877"/>
      <c r="Q585" s="1067"/>
    </row>
    <row r="586" spans="2:19" outlineLevel="2">
      <c r="B586" s="793"/>
      <c r="C586" s="802"/>
      <c r="D586" s="794">
        <v>1</v>
      </c>
      <c r="E586" s="795" t="s">
        <v>914</v>
      </c>
      <c r="F586" s="795"/>
      <c r="G586" s="796"/>
      <c r="H586" s="797">
        <f>RAB!H584</f>
        <v>35</v>
      </c>
      <c r="I586" s="797" t="str">
        <f>RAB!I584</f>
        <v>M2</v>
      </c>
      <c r="J586" s="797" t="str">
        <f>RAB!J584</f>
        <v>A.4.4.3.35.</v>
      </c>
      <c r="K586" s="804" t="str">
        <f>VLOOKUP(J586,RKPANL!B:D,2,0)</f>
        <v>Pemasangan 1m2 lantai keramik ukuran 40cm x 40cm</v>
      </c>
      <c r="L586" s="800">
        <f>VLOOKUP(J586,RKPANL!B:D,3,0)</f>
        <v>309005</v>
      </c>
      <c r="M586" s="1061">
        <f>L586*H586</f>
        <v>10815175</v>
      </c>
      <c r="N586" s="800"/>
      <c r="O586" s="1127">
        <v>0.94310000000000005</v>
      </c>
      <c r="P586" s="800">
        <f>M586*O586</f>
        <v>10199791.5425</v>
      </c>
      <c r="Q586" s="1068">
        <f>M586-P586</f>
        <v>615383.45749999955</v>
      </c>
    </row>
    <row r="587" spans="2:19" outlineLevel="2">
      <c r="B587" s="793"/>
      <c r="C587" s="802"/>
      <c r="D587" s="794">
        <v>2</v>
      </c>
      <c r="E587" s="795" t="s">
        <v>915</v>
      </c>
      <c r="F587" s="795"/>
      <c r="G587" s="796"/>
      <c r="H587" s="797">
        <f>RAB!H585</f>
        <v>26</v>
      </c>
      <c r="I587" s="797" t="str">
        <f>RAB!I585</f>
        <v>M2</v>
      </c>
      <c r="J587" s="797" t="str">
        <f>RAB!J585</f>
        <v>Hit. LT.01</v>
      </c>
      <c r="K587" s="804" t="e">
        <f>VLOOKUP(J587,RKPANL!B:D,2,0)</f>
        <v>#N/A</v>
      </c>
      <c r="L587" s="800">
        <f>RAB!L585</f>
        <v>500000</v>
      </c>
      <c r="M587" s="1061">
        <f>L587*H587</f>
        <v>13000000</v>
      </c>
      <c r="N587" s="800"/>
      <c r="O587" s="1127">
        <v>0.67500000000000004</v>
      </c>
      <c r="P587" s="800">
        <f>M587*O587</f>
        <v>8775000</v>
      </c>
      <c r="Q587" s="1068">
        <f>M587-P587</f>
        <v>4225000</v>
      </c>
    </row>
    <row r="588" spans="2:19" outlineLevel="2">
      <c r="B588" s="793"/>
      <c r="C588" s="802"/>
      <c r="D588" s="794">
        <v>3</v>
      </c>
      <c r="E588" s="795" t="s">
        <v>686</v>
      </c>
      <c r="F588" s="795"/>
      <c r="G588" s="796"/>
      <c r="H588" s="797">
        <f>RAB!H586</f>
        <v>16</v>
      </c>
      <c r="I588" s="797" t="str">
        <f>RAB!I586</f>
        <v>Unit</v>
      </c>
      <c r="J588" s="797" t="str">
        <f>RAB!J586</f>
        <v>Hit. PT.01</v>
      </c>
      <c r="K588" s="804" t="e">
        <f>VLOOKUP(J588,RKPANL!B:D,2,0)</f>
        <v>#N/A</v>
      </c>
      <c r="L588" s="800">
        <f>RAB!L586</f>
        <v>13569999.999999998</v>
      </c>
      <c r="M588" s="1061">
        <f>L588*H588</f>
        <v>217119999.99999997</v>
      </c>
      <c r="N588" s="800"/>
      <c r="O588" s="1127">
        <v>1</v>
      </c>
      <c r="P588" s="800">
        <f>M588*O588</f>
        <v>217119999.99999997</v>
      </c>
      <c r="Q588" s="1068">
        <f>M588-P588</f>
        <v>0</v>
      </c>
    </row>
    <row r="589" spans="2:19" outlineLevel="2">
      <c r="B589" s="793"/>
      <c r="C589" s="802"/>
      <c r="D589" s="794">
        <v>4</v>
      </c>
      <c r="E589" s="795" t="s">
        <v>717</v>
      </c>
      <c r="F589" s="795"/>
      <c r="G589" s="796"/>
      <c r="H589" s="797">
        <f>RAB!H587</f>
        <v>69</v>
      </c>
      <c r="I589" s="797" t="str">
        <f>RAB!I587</f>
        <v>Unit</v>
      </c>
      <c r="J589" s="797" t="str">
        <f>RAB!J587</f>
        <v>A.4.6.2.8</v>
      </c>
      <c r="K589" s="804" t="str">
        <f>VLOOKUP(J589,RKPANL!B:D,2,0)</f>
        <v>Memasang 1 bh engsel jendela Alumunium</v>
      </c>
      <c r="L589" s="800">
        <f>VLOOKUP(J589,RKPANL!B:D,3,0)</f>
        <v>112714.375</v>
      </c>
      <c r="M589" s="1061">
        <f>L589*H589</f>
        <v>7777291.875</v>
      </c>
      <c r="N589" s="800"/>
      <c r="O589" s="1127">
        <v>1</v>
      </c>
      <c r="P589" s="800">
        <f>M589*O589</f>
        <v>7777291.875</v>
      </c>
      <c r="Q589" s="1068">
        <f>M589-P589</f>
        <v>0</v>
      </c>
    </row>
    <row r="590" spans="2:19" outlineLevel="2">
      <c r="B590" s="793"/>
      <c r="C590" s="802"/>
      <c r="D590" s="794"/>
      <c r="E590" s="795"/>
      <c r="F590" s="795"/>
      <c r="G590" s="796"/>
      <c r="H590" s="797"/>
      <c r="I590" s="798"/>
      <c r="J590" s="798"/>
      <c r="K590" s="806"/>
      <c r="L590" s="800"/>
      <c r="M590" s="1061"/>
      <c r="N590" s="800"/>
      <c r="O590" s="841"/>
      <c r="P590" s="800"/>
      <c r="Q590" s="1068"/>
    </row>
    <row r="591" spans="2:19" s="1098" customFormat="1" ht="21.6" customHeight="1">
      <c r="B591" s="1115"/>
      <c r="C591" s="1104"/>
      <c r="D591" s="1104"/>
      <c r="E591" s="1104"/>
      <c r="F591" s="1104"/>
      <c r="G591" s="1104"/>
      <c r="H591" s="1104"/>
      <c r="I591" s="1104"/>
      <c r="J591" s="1104"/>
      <c r="K591" s="1272" t="s">
        <v>592</v>
      </c>
      <c r="L591" s="1272"/>
      <c r="M591" s="1105"/>
      <c r="N591" s="1106">
        <f>SUM(M586:M589)</f>
        <v>248712466.87499997</v>
      </c>
      <c r="O591" s="1124"/>
      <c r="P591" s="1106">
        <f t="shared" ref="P591:Q591" si="60">SUM(P586:P590)</f>
        <v>243872083.41749996</v>
      </c>
      <c r="Q591" s="1186">
        <f t="shared" si="60"/>
        <v>4840383.4574999996</v>
      </c>
      <c r="S591" s="1114"/>
    </row>
    <row r="592" spans="2:19" ht="15.6">
      <c r="B592" s="851" t="s">
        <v>591</v>
      </c>
      <c r="C592" s="1185" t="s">
        <v>581</v>
      </c>
      <c r="E592" s="875"/>
      <c r="F592" s="795"/>
      <c r="G592" s="796"/>
      <c r="H592" s="797"/>
      <c r="I592" s="798"/>
      <c r="J592" s="798"/>
      <c r="K592" s="876"/>
      <c r="L592" s="877"/>
      <c r="M592" s="1060"/>
      <c r="N592" s="877"/>
      <c r="O592" s="895"/>
      <c r="P592" s="877"/>
      <c r="Q592" s="1067"/>
    </row>
    <row r="593" spans="2:19" ht="15.6" outlineLevel="1">
      <c r="B593" s="793"/>
      <c r="C593" s="848" t="s">
        <v>823</v>
      </c>
      <c r="D593" s="696" t="s">
        <v>582</v>
      </c>
      <c r="E593" s="849"/>
      <c r="F593" s="795"/>
      <c r="G593" s="796"/>
      <c r="H593" s="797"/>
      <c r="I593" s="798"/>
      <c r="J593" s="798"/>
      <c r="K593" s="799"/>
      <c r="L593" s="800"/>
      <c r="M593" s="1061"/>
      <c r="N593" s="800"/>
      <c r="O593" s="841"/>
      <c r="P593" s="800"/>
      <c r="Q593" s="1068"/>
    </row>
    <row r="594" spans="2:19" outlineLevel="2">
      <c r="B594" s="793"/>
      <c r="C594" s="802"/>
      <c r="D594" s="794">
        <v>1</v>
      </c>
      <c r="E594" s="795" t="s">
        <v>916</v>
      </c>
      <c r="F594" s="795"/>
      <c r="G594" s="796"/>
      <c r="H594" s="797">
        <f>RAB!H592</f>
        <v>6</v>
      </c>
      <c r="I594" s="797" t="str">
        <f>RAB!I592</f>
        <v>M2</v>
      </c>
      <c r="J594" s="797" t="str">
        <f>RAB!J592</f>
        <v>A.4.4.3.33.A</v>
      </c>
      <c r="K594" s="804" t="str">
        <f>VLOOKUP(J594,RKPANL!B:D,2,0)</f>
        <v>Pemasangan 1m2 lantai granite ukuran 60cm x 60cm</v>
      </c>
      <c r="L594" s="800">
        <f>VLOOKUP(J594,RKPANL!B:D,3,0)</f>
        <v>513423.25</v>
      </c>
      <c r="M594" s="1061">
        <f t="shared" ref="M594:M599" si="61">L594*H594</f>
        <v>3080539.5</v>
      </c>
      <c r="N594" s="800"/>
      <c r="O594" s="1127">
        <v>1</v>
      </c>
      <c r="P594" s="800">
        <f>M594*O594</f>
        <v>3080539.5</v>
      </c>
      <c r="Q594" s="1068">
        <f>M594-P594</f>
        <v>0</v>
      </c>
    </row>
    <row r="595" spans="2:19" outlineLevel="2">
      <c r="B595" s="793"/>
      <c r="C595" s="802"/>
      <c r="D595" s="794">
        <v>2</v>
      </c>
      <c r="E595" s="795" t="s">
        <v>911</v>
      </c>
      <c r="F595" s="795"/>
      <c r="G595" s="796"/>
      <c r="H595" s="797">
        <f>RAB!H593</f>
        <v>1</v>
      </c>
      <c r="I595" s="797" t="str">
        <f>RAB!I593</f>
        <v>Unit</v>
      </c>
      <c r="J595" s="797" t="str">
        <f>RAB!J593</f>
        <v>Hit. TG.01</v>
      </c>
      <c r="K595" s="804" t="e">
        <f>VLOOKUP(J595,RKPANL!B:D,2,0)</f>
        <v>#N/A</v>
      </c>
      <c r="L595" s="800">
        <f>RAB!L593</f>
        <v>1500000</v>
      </c>
      <c r="M595" s="1061">
        <f t="shared" si="61"/>
        <v>1500000</v>
      </c>
      <c r="N595" s="800"/>
      <c r="O595" s="1127">
        <v>1</v>
      </c>
      <c r="P595" s="800">
        <f>M595*O595</f>
        <v>1500000</v>
      </c>
      <c r="Q595" s="1068">
        <f>M595-P595</f>
        <v>0</v>
      </c>
    </row>
    <row r="596" spans="2:19" outlineLevel="2">
      <c r="B596" s="793"/>
      <c r="C596" s="802"/>
      <c r="D596" s="794">
        <v>3</v>
      </c>
      <c r="E596" s="795" t="s">
        <v>912</v>
      </c>
      <c r="F596" s="795"/>
      <c r="G596" s="796"/>
      <c r="H596" s="797">
        <f>RAB!H594</f>
        <v>1</v>
      </c>
      <c r="I596" s="797" t="str">
        <f>RAB!I594</f>
        <v>Unit</v>
      </c>
      <c r="J596" s="797" t="str">
        <f>RAB!J594</f>
        <v>Taksir</v>
      </c>
      <c r="K596" s="804" t="e">
        <f>VLOOKUP(J596,RKPANL!B:D,2,0)</f>
        <v>#N/A</v>
      </c>
      <c r="L596" s="800">
        <f>RAB!L594</f>
        <v>8700000</v>
      </c>
      <c r="M596" s="1061">
        <f t="shared" si="61"/>
        <v>8700000</v>
      </c>
      <c r="N596" s="800"/>
      <c r="O596" s="1127">
        <v>1</v>
      </c>
      <c r="P596" s="800">
        <f>M596*O596</f>
        <v>8700000</v>
      </c>
      <c r="Q596" s="1068">
        <f>M596-P596</f>
        <v>0</v>
      </c>
    </row>
    <row r="597" spans="2:19" outlineLevel="2">
      <c r="B597" s="793"/>
      <c r="C597" s="802"/>
      <c r="D597" s="794">
        <v>4</v>
      </c>
      <c r="E597" s="795" t="s">
        <v>913</v>
      </c>
      <c r="F597" s="795"/>
      <c r="G597" s="796"/>
      <c r="H597" s="797"/>
      <c r="I597" s="798"/>
      <c r="J597" s="798"/>
      <c r="K597" s="804"/>
      <c r="L597" s="800"/>
      <c r="M597" s="1061"/>
      <c r="N597" s="800"/>
      <c r="O597" s="1127"/>
      <c r="P597" s="800"/>
      <c r="Q597" s="1068"/>
    </row>
    <row r="598" spans="2:19" outlineLevel="2">
      <c r="B598" s="793"/>
      <c r="C598" s="802"/>
      <c r="D598" s="794"/>
      <c r="E598" s="803" t="s">
        <v>837</v>
      </c>
      <c r="F598" s="795"/>
      <c r="G598" s="796"/>
      <c r="H598" s="797">
        <f>RAB!H596</f>
        <v>15</v>
      </c>
      <c r="I598" s="797" t="str">
        <f>RAB!I596</f>
        <v>Huruf</v>
      </c>
      <c r="J598" s="797" t="str">
        <f>RAB!J596</f>
        <v>Taksir</v>
      </c>
      <c r="K598" s="804" t="e">
        <f>VLOOKUP(J598,RKPANL!B:D,2,0)</f>
        <v>#N/A</v>
      </c>
      <c r="L598" s="800">
        <f>RAB!L596</f>
        <v>500000</v>
      </c>
      <c r="M598" s="1061">
        <f t="shared" si="61"/>
        <v>7500000</v>
      </c>
      <c r="N598" s="800"/>
      <c r="O598" s="1127">
        <v>1</v>
      </c>
      <c r="P598" s="800">
        <f>M598*O598</f>
        <v>7500000</v>
      </c>
      <c r="Q598" s="1068">
        <f>M598-P598</f>
        <v>0</v>
      </c>
    </row>
    <row r="599" spans="2:19" outlineLevel="2">
      <c r="B599" s="793"/>
      <c r="C599" s="802"/>
      <c r="D599" s="794"/>
      <c r="E599" s="803" t="s">
        <v>583</v>
      </c>
      <c r="F599" s="795"/>
      <c r="G599" s="796"/>
      <c r="H599" s="797">
        <f>RAB!H597</f>
        <v>21</v>
      </c>
      <c r="I599" s="797" t="str">
        <f>RAB!I597</f>
        <v>Huruf</v>
      </c>
      <c r="J599" s="797" t="str">
        <f>RAB!J597</f>
        <v>Taksir</v>
      </c>
      <c r="K599" s="804" t="e">
        <f>VLOOKUP(J599,RKPANL!B:D,2,0)</f>
        <v>#N/A</v>
      </c>
      <c r="L599" s="800">
        <f>RAB!L597</f>
        <v>400000</v>
      </c>
      <c r="M599" s="1061">
        <f t="shared" si="61"/>
        <v>8400000</v>
      </c>
      <c r="N599" s="800"/>
      <c r="O599" s="1127">
        <v>1</v>
      </c>
      <c r="P599" s="800">
        <f>M599*O599</f>
        <v>8400000</v>
      </c>
      <c r="Q599" s="1068">
        <f>M599-P599</f>
        <v>0</v>
      </c>
    </row>
    <row r="600" spans="2:19" outlineLevel="2">
      <c r="B600" s="793"/>
      <c r="C600" s="802"/>
      <c r="D600" s="794"/>
      <c r="E600" s="803"/>
      <c r="F600" s="795"/>
      <c r="G600" s="796"/>
      <c r="H600" s="797"/>
      <c r="I600" s="798"/>
      <c r="J600" s="798"/>
      <c r="K600" s="804"/>
      <c r="L600" s="800"/>
      <c r="M600" s="1061"/>
      <c r="N600" s="800"/>
      <c r="O600" s="1128"/>
      <c r="P600" s="800"/>
      <c r="Q600" s="1068"/>
    </row>
    <row r="601" spans="2:19" ht="15.6" outlineLevel="1">
      <c r="B601" s="793"/>
      <c r="C601" s="848" t="s">
        <v>824</v>
      </c>
      <c r="D601" s="696" t="s">
        <v>584</v>
      </c>
      <c r="E601" s="849"/>
      <c r="F601" s="795"/>
      <c r="G601" s="796"/>
      <c r="H601" s="797"/>
      <c r="I601" s="798"/>
      <c r="J601" s="798"/>
      <c r="K601" s="804"/>
      <c r="L601" s="800"/>
      <c r="M601" s="1061"/>
      <c r="N601" s="800"/>
      <c r="O601" s="1128"/>
      <c r="P601" s="800"/>
      <c r="Q601" s="1068"/>
    </row>
    <row r="602" spans="2:19" outlineLevel="2">
      <c r="B602" s="793"/>
      <c r="C602" s="802"/>
      <c r="D602" s="794">
        <v>1</v>
      </c>
      <c r="E602" s="812" t="s">
        <v>917</v>
      </c>
      <c r="F602" s="795"/>
      <c r="G602" s="796"/>
      <c r="H602" s="797">
        <f>RAB!H600</f>
        <v>10</v>
      </c>
      <c r="I602" s="797" t="str">
        <f>RAB!I600</f>
        <v>M3</v>
      </c>
      <c r="J602" s="797" t="str">
        <f>RAB!J600</f>
        <v>Taksir</v>
      </c>
      <c r="K602" s="804" t="e">
        <f>VLOOKUP(J602,RKPANL!B:D,2,0)</f>
        <v>#N/A</v>
      </c>
      <c r="L602" s="800">
        <f>RAB!L600</f>
        <v>250000</v>
      </c>
      <c r="M602" s="1061">
        <f>L602*H602</f>
        <v>2500000</v>
      </c>
      <c r="N602" s="800"/>
      <c r="O602" s="1127">
        <v>1</v>
      </c>
      <c r="P602" s="800">
        <f>M602*O602</f>
        <v>2500000</v>
      </c>
      <c r="Q602" s="1068">
        <f>M602-P602</f>
        <v>0</v>
      </c>
    </row>
    <row r="603" spans="2:19" outlineLevel="2">
      <c r="B603" s="793"/>
      <c r="C603" s="802"/>
      <c r="D603" s="794">
        <v>2</v>
      </c>
      <c r="E603" s="812" t="s">
        <v>587</v>
      </c>
      <c r="F603" s="795"/>
      <c r="G603" s="796"/>
      <c r="H603" s="797">
        <f>RAB!H601</f>
        <v>50</v>
      </c>
      <c r="I603" s="797" t="str">
        <f>RAB!I601</f>
        <v>Bh</v>
      </c>
      <c r="J603" s="797" t="str">
        <f>RAB!J601</f>
        <v>Taksir</v>
      </c>
      <c r="K603" s="804" t="e">
        <f>VLOOKUP(J603,RKPANL!B:D,2,0)</f>
        <v>#N/A</v>
      </c>
      <c r="L603" s="800">
        <f>RAB!L601</f>
        <v>25000</v>
      </c>
      <c r="M603" s="1061">
        <f>L603*H603</f>
        <v>1250000</v>
      </c>
      <c r="N603" s="800"/>
      <c r="O603" s="1127">
        <v>1</v>
      </c>
      <c r="P603" s="800">
        <f>M603*O603</f>
        <v>1250000</v>
      </c>
      <c r="Q603" s="1068">
        <f>M603-P603</f>
        <v>0</v>
      </c>
    </row>
    <row r="604" spans="2:19" outlineLevel="2">
      <c r="B604" s="793"/>
      <c r="C604" s="802"/>
      <c r="D604" s="794">
        <v>3</v>
      </c>
      <c r="E604" s="812" t="s">
        <v>588</v>
      </c>
      <c r="F604" s="795"/>
      <c r="G604" s="796"/>
      <c r="H604" s="797">
        <f>RAB!H602</f>
        <v>50</v>
      </c>
      <c r="I604" s="797" t="str">
        <f>RAB!I602</f>
        <v>Bh</v>
      </c>
      <c r="J604" s="797" t="str">
        <f>RAB!J602</f>
        <v>Taksir</v>
      </c>
      <c r="K604" s="804" t="e">
        <f>VLOOKUP(J604,RKPANL!B:D,2,0)</f>
        <v>#N/A</v>
      </c>
      <c r="L604" s="800">
        <f>RAB!L602</f>
        <v>23000</v>
      </c>
      <c r="M604" s="1061">
        <f>L604*H604</f>
        <v>1150000</v>
      </c>
      <c r="N604" s="800"/>
      <c r="O604" s="1127">
        <v>1</v>
      </c>
      <c r="P604" s="800">
        <f>M604*O604</f>
        <v>1150000</v>
      </c>
      <c r="Q604" s="1068">
        <f>M604-P604</f>
        <v>0</v>
      </c>
    </row>
    <row r="605" spans="2:19" outlineLevel="2">
      <c r="B605" s="793"/>
      <c r="C605" s="802"/>
      <c r="D605" s="794">
        <v>4</v>
      </c>
      <c r="E605" s="812" t="s">
        <v>589</v>
      </c>
      <c r="F605" s="795"/>
      <c r="G605" s="796"/>
      <c r="H605" s="797">
        <f>RAB!H603</f>
        <v>50</v>
      </c>
      <c r="I605" s="797" t="str">
        <f>RAB!I603</f>
        <v>M2</v>
      </c>
      <c r="J605" s="797" t="str">
        <f>RAB!J603</f>
        <v>Taksir</v>
      </c>
      <c r="K605" s="804" t="e">
        <f>VLOOKUP(J605,RKPANL!B:D,2,0)</f>
        <v>#N/A</v>
      </c>
      <c r="L605" s="800">
        <f>RAB!L603</f>
        <v>80000</v>
      </c>
      <c r="M605" s="1061">
        <f>L605*H605</f>
        <v>4000000</v>
      </c>
      <c r="N605" s="800"/>
      <c r="O605" s="1127">
        <v>1</v>
      </c>
      <c r="P605" s="800">
        <f>M605*O605</f>
        <v>4000000</v>
      </c>
      <c r="Q605" s="1068">
        <f>M605-P605</f>
        <v>0</v>
      </c>
    </row>
    <row r="606" spans="2:19" outlineLevel="2">
      <c r="B606" s="793"/>
      <c r="C606" s="802"/>
      <c r="D606" s="794"/>
      <c r="E606" s="795"/>
      <c r="F606" s="795"/>
      <c r="G606" s="796"/>
      <c r="H606" s="797"/>
      <c r="I606" s="798"/>
      <c r="J606" s="798"/>
      <c r="K606" s="806"/>
      <c r="L606" s="800"/>
      <c r="M606" s="1061"/>
      <c r="N606" s="800"/>
      <c r="O606" s="806"/>
      <c r="P606" s="800"/>
      <c r="Q606" s="1068"/>
    </row>
    <row r="607" spans="2:19" s="1098" customFormat="1" ht="21.6" customHeight="1">
      <c r="B607" s="1115"/>
      <c r="C607" s="1104"/>
      <c r="D607" s="1104"/>
      <c r="E607" s="1104"/>
      <c r="F607" s="1104"/>
      <c r="G607" s="1104"/>
      <c r="H607" s="1104"/>
      <c r="I607" s="1104"/>
      <c r="J607" s="1104"/>
      <c r="K607" s="1272" t="s">
        <v>593</v>
      </c>
      <c r="L607" s="1272"/>
      <c r="M607" s="1105"/>
      <c r="N607" s="1106">
        <f>SUM(M594:M605)</f>
        <v>38080539.5</v>
      </c>
      <c r="O607" s="1107"/>
      <c r="P607" s="1106">
        <f t="shared" ref="P607:Q607" si="62">SUM(P593:P606)</f>
        <v>38080539.5</v>
      </c>
      <c r="Q607" s="1186">
        <f t="shared" si="62"/>
        <v>0</v>
      </c>
      <c r="S607" s="1114"/>
    </row>
    <row r="608" spans="2:19" ht="32.4" customHeight="1" thickBot="1">
      <c r="B608" s="865"/>
      <c r="C608" s="866"/>
      <c r="D608" s="866"/>
      <c r="E608" s="866"/>
      <c r="F608" s="866"/>
      <c r="G608" s="866"/>
      <c r="H608" s="867"/>
      <c r="I608" s="866"/>
      <c r="J608" s="866"/>
      <c r="K608" s="866"/>
      <c r="L608" s="1276" t="s">
        <v>60</v>
      </c>
      <c r="M608" s="1277"/>
      <c r="N608" s="1073">
        <f>N28+N47+N83+N122+N234+N377+N450+N470+N485+N504+N522+N528+N580+N584+N591+N607</f>
        <v>5991960939.9127369</v>
      </c>
      <c r="O608" s="1076"/>
      <c r="P608" s="1073">
        <f>P28+P47+P83+P122+P234+P377+P450+P470+P485+P504+P522+P528+P580+P584+P591+P607</f>
        <v>4275498041.5059109</v>
      </c>
      <c r="Q608" s="1072">
        <f>Q28+Q47+Q83+Q122+Q234+Q377+Q450+Q470+Q485+Q504+Q522+Q528+Q580+Q584+Q591+Q607</f>
        <v>1716303038.6893263</v>
      </c>
      <c r="R608" s="884">
        <f>P608+Q608</f>
        <v>5991801080.1952372</v>
      </c>
    </row>
    <row r="609" spans="2:18" s="1119" customFormat="1" ht="32.4" customHeight="1" thickTop="1" thickBot="1">
      <c r="B609" s="1116"/>
      <c r="C609" s="1117"/>
      <c r="D609" s="1117"/>
      <c r="E609" s="1117"/>
      <c r="F609" s="1117"/>
      <c r="G609" s="1117"/>
      <c r="H609" s="1136"/>
      <c r="I609" s="1117"/>
      <c r="J609" s="1117"/>
      <c r="K609" s="1117"/>
      <c r="L609" s="1278" t="s">
        <v>940</v>
      </c>
      <c r="M609" s="1279"/>
      <c r="N609" s="1120">
        <f>N608/N608*1</f>
        <v>1</v>
      </c>
      <c r="O609" s="1118"/>
      <c r="P609" s="1120">
        <f>P608/N608*1</f>
        <v>0.71353903745043046</v>
      </c>
      <c r="Q609" s="1121">
        <f>Q608/N608*1</f>
        <v>0.28643428351759609</v>
      </c>
      <c r="R609" s="1122">
        <f>P609+Q609</f>
        <v>0.9999733209680266</v>
      </c>
    </row>
    <row r="610" spans="2:18" ht="15.6" thickTop="1">
      <c r="F610" s="767"/>
      <c r="L610" s="868"/>
    </row>
    <row r="611" spans="2:18">
      <c r="E611" s="767"/>
      <c r="F611" s="771"/>
      <c r="J611" s="770"/>
      <c r="L611" s="868"/>
      <c r="M611" s="769"/>
      <c r="N611" s="769"/>
      <c r="O611" s="769"/>
      <c r="P611" s="769"/>
      <c r="Q611" s="769"/>
    </row>
    <row r="612" spans="2:18" ht="24" customHeight="1">
      <c r="E612" s="767"/>
      <c r="F612" s="771"/>
      <c r="J612" s="770"/>
      <c r="L612" s="868"/>
      <c r="M612" s="769"/>
      <c r="N612" s="769" t="s">
        <v>952</v>
      </c>
      <c r="O612" s="1180" t="s">
        <v>957</v>
      </c>
      <c r="P612" s="1181"/>
      <c r="Q612" s="769"/>
    </row>
    <row r="613" spans="2:18" ht="19.2" customHeight="1">
      <c r="B613" s="767"/>
      <c r="C613" s="767"/>
      <c r="E613" s="767"/>
      <c r="G613" s="764"/>
      <c r="J613" s="770"/>
      <c r="L613" s="897"/>
      <c r="M613" s="769"/>
      <c r="N613" s="769"/>
      <c r="O613" s="1182" t="s">
        <v>953</v>
      </c>
      <c r="P613" s="769"/>
      <c r="Q613" s="769"/>
    </row>
    <row r="614" spans="2:18" ht="15.6">
      <c r="E614" s="869"/>
      <c r="F614" s="870"/>
      <c r="J614" s="770"/>
      <c r="L614" s="869"/>
      <c r="M614" s="870"/>
      <c r="N614" s="870"/>
      <c r="O614" s="1182" t="s">
        <v>954</v>
      </c>
      <c r="P614" s="870"/>
      <c r="Q614" s="870"/>
    </row>
    <row r="615" spans="2:18">
      <c r="E615" s="767"/>
      <c r="J615" s="770"/>
      <c r="L615" s="868"/>
      <c r="M615" s="871"/>
      <c r="N615" s="871"/>
      <c r="O615" s="1182" t="s">
        <v>955</v>
      </c>
      <c r="P615" s="871"/>
      <c r="Q615" s="871"/>
    </row>
    <row r="616" spans="2:18">
      <c r="O616" s="1182" t="s">
        <v>956</v>
      </c>
    </row>
    <row r="617" spans="2:18">
      <c r="O617" s="919"/>
    </row>
    <row r="618" spans="2:18">
      <c r="O618" s="919"/>
    </row>
    <row r="619" spans="2:18">
      <c r="O619" s="919"/>
    </row>
    <row r="620" spans="2:18">
      <c r="O620" s="1020"/>
    </row>
    <row r="621" spans="2:18" ht="16.8">
      <c r="O621" s="1183" t="s">
        <v>825</v>
      </c>
    </row>
    <row r="622" spans="2:18" ht="16.8">
      <c r="O622" s="1184" t="s">
        <v>826</v>
      </c>
    </row>
  </sheetData>
  <mergeCells count="23">
    <mergeCell ref="L608:M608"/>
    <mergeCell ref="L609:M609"/>
    <mergeCell ref="K607:L607"/>
    <mergeCell ref="B3:Q3"/>
    <mergeCell ref="B4:Q4"/>
    <mergeCell ref="B5:Q5"/>
    <mergeCell ref="K504:L504"/>
    <mergeCell ref="K522:L522"/>
    <mergeCell ref="K528:L528"/>
    <mergeCell ref="K580:L580"/>
    <mergeCell ref="K584:L584"/>
    <mergeCell ref="K591:L591"/>
    <mergeCell ref="K122:L122"/>
    <mergeCell ref="K234:L234"/>
    <mergeCell ref="K377:L377"/>
    <mergeCell ref="K450:L450"/>
    <mergeCell ref="K470:L470"/>
    <mergeCell ref="K485:L485"/>
    <mergeCell ref="C13:G13"/>
    <mergeCell ref="C14:G14"/>
    <mergeCell ref="K28:L28"/>
    <mergeCell ref="K47:L47"/>
    <mergeCell ref="K83:L83"/>
  </mergeCells>
  <printOptions horizontalCentered="1"/>
  <pageMargins left="0.59055118110236227" right="0.39370078740157483" top="0.59055118110236227" bottom="0.59055118110236227" header="0.51181102362204722" footer="0.39370078740157483"/>
  <pageSetup paperSize="9" scale="53" orientation="landscape" r:id="rId1"/>
  <headerFooter alignWithMargins="0">
    <oddFooter>&amp;C&amp;9&amp;P / &amp;N</oddFooter>
  </headerFooter>
  <rowBreaks count="9" manualBreakCount="9">
    <brk id="56" min="1" max="16" man="1"/>
    <brk id="115" min="1" max="16" man="1"/>
    <brk id="175" min="1" max="16" man="1"/>
    <brk id="234" min="1" max="16" man="1"/>
    <brk id="355" min="1" max="16" man="1"/>
    <brk id="413" min="1" max="16" man="1"/>
    <brk id="470" min="1" max="16" man="1"/>
    <brk id="528" min="1" max="16" man="1"/>
    <brk id="584" min="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68"/>
  <sheetViews>
    <sheetView view="pageBreakPreview" topLeftCell="A7" zoomScale="90" zoomScaleSheetLayoutView="90" workbookViewId="0">
      <selection activeCell="G63" sqref="G63"/>
    </sheetView>
  </sheetViews>
  <sheetFormatPr defaultColWidth="9.21875" defaultRowHeight="13.8"/>
  <cols>
    <col min="1" max="1" width="9.21875" style="92"/>
    <col min="2" max="2" width="5.44140625" style="92" customWidth="1"/>
    <col min="3" max="3" width="19.21875" style="92" customWidth="1"/>
    <col min="4" max="4" width="11.77734375" style="92" customWidth="1"/>
    <col min="5" max="5" width="19.21875" style="92" customWidth="1"/>
    <col min="6" max="6" width="5.44140625" style="92" customWidth="1"/>
    <col min="7" max="7" width="9.21875" style="92" customWidth="1"/>
    <col min="8" max="16384" width="9.21875" style="92"/>
  </cols>
  <sheetData>
    <row r="1" spans="2:6" s="86" customFormat="1" ht="14.4" thickBot="1"/>
    <row r="2" spans="2:6" s="86" customFormat="1">
      <c r="B2" s="87"/>
      <c r="C2" s="88"/>
      <c r="D2" s="89"/>
      <c r="E2" s="88"/>
      <c r="F2" s="90"/>
    </row>
    <row r="3" spans="2:6" s="86" customFormat="1">
      <c r="B3" s="91"/>
      <c r="C3" s="92"/>
      <c r="D3" s="93"/>
      <c r="E3" s="92"/>
      <c r="F3" s="94"/>
    </row>
    <row r="4" spans="2:6" s="86" customFormat="1">
      <c r="B4" s="91"/>
      <c r="C4" s="92"/>
      <c r="D4" s="93"/>
      <c r="E4" s="92"/>
      <c r="F4" s="94"/>
    </row>
    <row r="5" spans="2:6" s="86" customFormat="1">
      <c r="B5" s="91"/>
      <c r="C5" s="92"/>
      <c r="D5" s="93"/>
      <c r="E5" s="92"/>
      <c r="F5" s="94"/>
    </row>
    <row r="6" spans="2:6" s="86" customFormat="1">
      <c r="B6" s="91"/>
      <c r="C6" s="92"/>
      <c r="D6" s="93"/>
      <c r="E6" s="92"/>
      <c r="F6" s="94"/>
    </row>
    <row r="7" spans="2:6" s="86" customFormat="1">
      <c r="B7" s="91"/>
      <c r="C7" s="92"/>
      <c r="D7" s="93"/>
      <c r="E7" s="92"/>
      <c r="F7" s="94"/>
    </row>
    <row r="8" spans="2:6" s="86" customFormat="1">
      <c r="B8" s="91"/>
      <c r="C8" s="92"/>
      <c r="D8" s="93"/>
      <c r="E8" s="92"/>
      <c r="F8" s="94"/>
    </row>
    <row r="9" spans="2:6" s="86" customFormat="1">
      <c r="B9" s="91"/>
      <c r="C9" s="92"/>
      <c r="D9" s="93"/>
      <c r="E9" s="92"/>
      <c r="F9" s="94"/>
    </row>
    <row r="10" spans="2:6" s="86" customFormat="1" ht="14.4">
      <c r="B10" s="91"/>
      <c r="C10" s="92"/>
      <c r="D10" s="93"/>
      <c r="E10" s="95"/>
      <c r="F10" s="94"/>
    </row>
    <row r="11" spans="2:6" s="86" customFormat="1" ht="14.4">
      <c r="B11" s="91"/>
      <c r="C11" s="92"/>
      <c r="D11" s="93"/>
      <c r="E11" s="95"/>
      <c r="F11" s="94"/>
    </row>
    <row r="12" spans="2:6" s="86" customFormat="1">
      <c r="B12" s="91"/>
      <c r="C12" s="92"/>
      <c r="D12" s="93"/>
      <c r="E12" s="92"/>
      <c r="F12" s="94"/>
    </row>
    <row r="13" spans="2:6" s="86" customFormat="1">
      <c r="B13" s="96"/>
      <c r="F13" s="97"/>
    </row>
    <row r="14" spans="2:6" s="351" customFormat="1" ht="12.6" customHeight="1">
      <c r="B14" s="348"/>
      <c r="C14" s="349"/>
      <c r="D14" s="370" t="s">
        <v>383</v>
      </c>
      <c r="E14" s="349"/>
      <c r="F14" s="350"/>
    </row>
    <row r="15" spans="2:6" s="351" customFormat="1" ht="21">
      <c r="B15" s="352"/>
      <c r="C15" s="353"/>
      <c r="D15" s="354" t="s">
        <v>334</v>
      </c>
      <c r="E15" s="353"/>
      <c r="F15" s="355"/>
    </row>
    <row r="16" spans="2:6" s="351" customFormat="1" ht="15" customHeight="1">
      <c r="B16" s="352"/>
      <c r="C16" s="353"/>
      <c r="D16" s="354"/>
      <c r="E16" s="353"/>
      <c r="F16" s="355"/>
    </row>
    <row r="17" spans="2:6" s="351" customFormat="1" ht="13.2">
      <c r="B17" s="352"/>
      <c r="C17" s="353"/>
      <c r="D17" s="353"/>
      <c r="E17" s="353"/>
      <c r="F17" s="355"/>
    </row>
    <row r="18" spans="2:6" s="351" customFormat="1" ht="12.75" customHeight="1">
      <c r="B18" s="356"/>
      <c r="C18" s="357"/>
      <c r="D18" s="369" t="s">
        <v>378</v>
      </c>
      <c r="E18" s="357"/>
      <c r="F18" s="359"/>
    </row>
    <row r="19" spans="2:6" s="351" customFormat="1" ht="47.55" customHeight="1">
      <c r="B19" s="360"/>
      <c r="C19" s="1201" t="str">
        <f>REKAP!F6</f>
        <v>JASA KONSULTANSI PERENCANAAN PEMELIHARAAN GEDUNG SERBA GUNA</v>
      </c>
      <c r="D19" s="1201"/>
      <c r="E19" s="1201"/>
      <c r="F19" s="361"/>
    </row>
    <row r="20" spans="2:6" s="351" customFormat="1" ht="11.55" customHeight="1">
      <c r="B20" s="1206"/>
      <c r="C20" s="1207"/>
      <c r="D20" s="1207"/>
      <c r="E20" s="1207"/>
      <c r="F20" s="1208"/>
    </row>
    <row r="21" spans="2:6" s="351" customFormat="1" ht="12.75" customHeight="1">
      <c r="B21" s="356"/>
      <c r="C21" s="357"/>
      <c r="D21" s="369" t="s">
        <v>379</v>
      </c>
      <c r="E21" s="357"/>
      <c r="F21" s="359"/>
    </row>
    <row r="22" spans="2:6" s="351" customFormat="1" ht="31.35" customHeight="1">
      <c r="B22" s="360"/>
      <c r="C22" s="1201" t="str">
        <f>RAB!G6</f>
        <v>PEMELIHARAAN GEDUNG SERBA GUNA</v>
      </c>
      <c r="D22" s="1201"/>
      <c r="E22" s="1201"/>
      <c r="F22" s="361"/>
    </row>
    <row r="23" spans="2:6" s="351" customFormat="1" ht="12.75" customHeight="1">
      <c r="B23" s="356"/>
      <c r="C23" s="357"/>
      <c r="D23" s="357"/>
      <c r="E23" s="357"/>
      <c r="F23" s="359"/>
    </row>
    <row r="24" spans="2:6" s="351" customFormat="1" ht="13.2">
      <c r="B24" s="352"/>
      <c r="C24" s="353"/>
      <c r="D24" s="369" t="s">
        <v>381</v>
      </c>
      <c r="E24" s="353"/>
      <c r="F24" s="355"/>
    </row>
    <row r="25" spans="2:6" s="351" customFormat="1" ht="30" customHeight="1">
      <c r="B25" s="1200" t="str">
        <f>REKAP!F8</f>
        <v>Jalan Williem Iskandar Medan</v>
      </c>
      <c r="C25" s="1201"/>
      <c r="D25" s="1201"/>
      <c r="E25" s="1201"/>
      <c r="F25" s="1202"/>
    </row>
    <row r="26" spans="2:6" s="351" customFormat="1" ht="12.75" customHeight="1">
      <c r="B26" s="360"/>
      <c r="C26" s="362"/>
      <c r="D26" s="362"/>
      <c r="E26" s="362"/>
      <c r="F26" s="361"/>
    </row>
    <row r="27" spans="2:6" s="351" customFormat="1" ht="13.2">
      <c r="B27" s="352"/>
      <c r="C27" s="353"/>
      <c r="D27" s="369" t="s">
        <v>336</v>
      </c>
      <c r="E27" s="353"/>
      <c r="F27" s="355"/>
    </row>
    <row r="28" spans="2:6" s="351" customFormat="1" ht="13.2">
      <c r="B28" s="352"/>
      <c r="C28" s="353"/>
      <c r="D28" s="363" t="s">
        <v>335</v>
      </c>
      <c r="E28" s="353"/>
      <c r="F28" s="355"/>
    </row>
    <row r="29" spans="2:6" s="351" customFormat="1" ht="13.2">
      <c r="B29" s="352"/>
      <c r="C29" s="353"/>
      <c r="D29" s="369" t="s">
        <v>382</v>
      </c>
      <c r="E29" s="353"/>
      <c r="F29" s="355"/>
    </row>
    <row r="30" spans="2:6" s="351" customFormat="1" ht="13.2">
      <c r="B30" s="352"/>
      <c r="C30" s="353"/>
      <c r="D30" s="369"/>
      <c r="E30" s="353"/>
      <c r="F30" s="355"/>
    </row>
    <row r="31" spans="2:6" s="351" customFormat="1" ht="13.2">
      <c r="B31" s="352"/>
      <c r="C31" s="353"/>
      <c r="D31" s="358"/>
      <c r="E31" s="353"/>
      <c r="F31" s="355"/>
    </row>
    <row r="32" spans="2:6" s="351" customFormat="1" ht="12.75" customHeight="1">
      <c r="B32" s="1203"/>
      <c r="C32" s="1204"/>
      <c r="D32" s="1204"/>
      <c r="E32" s="1204"/>
      <c r="F32" s="1205"/>
    </row>
    <row r="33" spans="2:7" s="351" customFormat="1" ht="12.75" customHeight="1">
      <c r="B33" s="1203"/>
      <c r="C33" s="1204"/>
      <c r="D33" s="1204"/>
      <c r="E33" s="1204"/>
      <c r="F33" s="1205"/>
      <c r="G33"/>
    </row>
    <row r="34" spans="2:7" s="351" customFormat="1" ht="12.75" customHeight="1">
      <c r="B34" s="1203"/>
      <c r="C34" s="1204"/>
      <c r="D34" s="1204"/>
      <c r="E34" s="1204"/>
      <c r="F34" s="1205"/>
    </row>
    <row r="35" spans="2:7" s="351" customFormat="1" thickBot="1">
      <c r="B35" s="364"/>
      <c r="C35" s="365"/>
      <c r="D35" s="366"/>
      <c r="E35" s="365"/>
      <c r="F35" s="367"/>
    </row>
    <row r="36" spans="2:7" s="353" customFormat="1" ht="13.2"/>
    <row r="37" spans="2:7" s="353" customFormat="1" ht="13.2"/>
    <row r="38" spans="2:7" s="353" customFormat="1" ht="13.2"/>
    <row r="39" spans="2:7" s="353" customFormat="1" ht="13.2"/>
    <row r="40" spans="2:7" s="353" customFormat="1" ht="13.2"/>
    <row r="41" spans="2:7" s="353" customFormat="1" ht="13.2"/>
    <row r="42" spans="2:7" s="368" customFormat="1" ht="17.399999999999999"/>
    <row r="43" spans="2:7" s="98" customFormat="1" ht="18"/>
    <row r="44" spans="2:7" s="98" customFormat="1" ht="18"/>
    <row r="45" spans="2:7" s="98" customFormat="1" ht="18"/>
    <row r="46" spans="2:7" s="98" customFormat="1" ht="18"/>
    <row r="47" spans="2:7" s="98" customFormat="1" ht="18"/>
    <row r="48" spans="2:7" s="98" customFormat="1" ht="18"/>
    <row r="49" s="98" customFormat="1" ht="18"/>
    <row r="50" s="98" customFormat="1" ht="18"/>
    <row r="51" s="98" customFormat="1" ht="18"/>
    <row r="52" s="98" customFormat="1" ht="18"/>
    <row r="53" s="98" customFormat="1" ht="18"/>
    <row r="54" s="98" customFormat="1" ht="18"/>
    <row r="55" s="98" customFormat="1" ht="18"/>
    <row r="56" s="98" customFormat="1" ht="18"/>
    <row r="57" s="98" customFormat="1" ht="18"/>
    <row r="58" s="98" customFormat="1" ht="18"/>
    <row r="59" s="98" customFormat="1" ht="18"/>
    <row r="60" s="98" customFormat="1" ht="18"/>
    <row r="61" s="98" customFormat="1" ht="18"/>
    <row r="62" s="98" customFormat="1" ht="18"/>
    <row r="63" s="98" customFormat="1" ht="18"/>
    <row r="64" s="98" customFormat="1" ht="18"/>
    <row r="65" s="98" customFormat="1" ht="18"/>
    <row r="66" s="98" customFormat="1" ht="18"/>
    <row r="67" s="98" customFormat="1" ht="18"/>
    <row r="68" s="98" customFormat="1" ht="18"/>
  </sheetData>
  <mergeCells count="5">
    <mergeCell ref="B25:F25"/>
    <mergeCell ref="B32:F34"/>
    <mergeCell ref="B20:F20"/>
    <mergeCell ref="C19:E19"/>
    <mergeCell ref="C22:E22"/>
  </mergeCells>
  <printOptions horizontalCentered="1" verticalCentered="1"/>
  <pageMargins left="0.59055118110236227" right="0.39370078740157483" top="0.59055118110236227" bottom="0.59055118110236227" header="0.31496062992125984" footer="0.31496062992125984"/>
  <pageSetup paperSize="9" scale="150" orientation="portrait" r:id="rId1"/>
  <colBreaks count="1" manualBreakCount="1">
    <brk id="6" min="1" max="36" man="1"/>
  </colBreaks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>
              <from>
                <xdr:col>6</xdr:col>
                <xdr:colOff>601980</xdr:colOff>
                <xdr:row>30</xdr:row>
                <xdr:rowOff>91440</xdr:rowOff>
              </from>
              <to>
                <xdr:col>12</xdr:col>
                <xdr:colOff>7620</xdr:colOff>
                <xdr:row>34</xdr:row>
                <xdr:rowOff>38100</xdr:rowOff>
              </to>
            </anchor>
          </objectPr>
        </oleObject>
      </mc:Choice>
      <mc:Fallback>
        <oleObject shapeId="1025" r:id="rId4"/>
      </mc:Fallback>
    </mc:AlternateContent>
    <mc:AlternateContent xmlns:mc="http://schemas.openxmlformats.org/markup-compatibility/2006">
      <mc:Choice Requires="x14">
        <oleObject progId="Unknown" shapeId="1026" r:id="rId6">
          <objectPr defaultSize="0" autoPict="0" r:id="rId5">
            <anchor moveWithCells="1" sizeWithCells="1">
              <from>
                <xdr:col>2</xdr:col>
                <xdr:colOff>160020</xdr:colOff>
                <xdr:row>30</xdr:row>
                <xdr:rowOff>152400</xdr:rowOff>
              </from>
              <to>
                <xdr:col>4</xdr:col>
                <xdr:colOff>952500</xdr:colOff>
                <xdr:row>33</xdr:row>
                <xdr:rowOff>152400</xdr:rowOff>
              </to>
            </anchor>
          </objectPr>
        </oleObject>
      </mc:Choice>
      <mc:Fallback>
        <oleObject progId="Unknown" shapeId="1026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0000"/>
  </sheetPr>
  <dimension ref="A3:P150"/>
  <sheetViews>
    <sheetView view="pageBreakPreview" topLeftCell="A31" zoomScale="85" zoomScaleNormal="85" zoomScaleSheetLayoutView="85" workbookViewId="0">
      <selection activeCell="G63" sqref="G63"/>
    </sheetView>
  </sheetViews>
  <sheetFormatPr defaultColWidth="11.44140625" defaultRowHeight="15.6"/>
  <cols>
    <col min="1" max="2" width="5.5546875" style="106" customWidth="1"/>
    <col min="3" max="3" width="6.21875" style="110" customWidth="1"/>
    <col min="4" max="4" width="15" style="109" customWidth="1"/>
    <col min="5" max="5" width="3.5546875" style="109" customWidth="1"/>
    <col min="6" max="6" width="44.44140625" style="109" customWidth="1"/>
    <col min="7" max="7" width="10.6640625" style="109" customWidth="1"/>
    <col min="8" max="8" width="24.77734375" style="111" customWidth="1"/>
    <col min="9" max="9" width="3.5546875" style="107" customWidth="1"/>
    <col min="10" max="10" width="22" style="108" customWidth="1"/>
    <col min="11" max="12" width="27.5546875" style="108" customWidth="1"/>
    <col min="13" max="13" width="22.21875" style="107" customWidth="1"/>
    <col min="14" max="14" width="21.77734375" style="107" customWidth="1"/>
    <col min="15" max="15" width="21.21875" style="107" customWidth="1"/>
    <col min="16" max="16" width="23.77734375" style="107" customWidth="1"/>
    <col min="17" max="16384" width="11.44140625" style="107"/>
  </cols>
  <sheetData>
    <row r="3" spans="1:16" s="100" customFormat="1" ht="21">
      <c r="A3" s="99"/>
      <c r="B3" s="99"/>
      <c r="C3" s="1219" t="s">
        <v>43</v>
      </c>
      <c r="D3" s="1219"/>
      <c r="E3" s="1219"/>
      <c r="F3" s="1219"/>
      <c r="G3" s="1219"/>
      <c r="H3" s="1219"/>
      <c r="I3" s="1218"/>
      <c r="J3" s="1218"/>
      <c r="K3" s="1218"/>
      <c r="L3" s="1218"/>
    </row>
    <row r="4" spans="1:16" s="100" customFormat="1" ht="21">
      <c r="A4" s="101"/>
      <c r="B4" s="101"/>
      <c r="C4" s="1219" t="s">
        <v>42</v>
      </c>
      <c r="D4" s="1219"/>
      <c r="E4" s="1219"/>
      <c r="F4" s="1219"/>
      <c r="G4" s="1219"/>
      <c r="H4" s="1219"/>
      <c r="I4" s="102"/>
      <c r="J4" s="102"/>
      <c r="K4" s="102"/>
      <c r="L4" s="102"/>
    </row>
    <row r="5" spans="1:16" s="100" customFormat="1" ht="26.55" customHeight="1">
      <c r="A5" s="101"/>
      <c r="B5" s="101"/>
      <c r="C5" s="103"/>
      <c r="D5" s="103"/>
      <c r="E5" s="103"/>
      <c r="F5" s="103"/>
      <c r="G5" s="103"/>
      <c r="H5" s="104"/>
      <c r="I5" s="102"/>
      <c r="J5" s="102"/>
      <c r="K5" s="102"/>
      <c r="L5" s="102"/>
    </row>
    <row r="6" spans="1:16" s="906" customFormat="1" ht="21" customHeight="1">
      <c r="A6" s="899"/>
      <c r="B6" s="899"/>
      <c r="C6" s="900" t="s">
        <v>384</v>
      </c>
      <c r="D6" s="901"/>
      <c r="E6" s="900" t="s">
        <v>26</v>
      </c>
      <c r="F6" s="900" t="s">
        <v>380</v>
      </c>
      <c r="G6" s="902"/>
      <c r="H6" s="903"/>
      <c r="I6" s="903"/>
      <c r="J6" s="904"/>
      <c r="K6" s="905"/>
    </row>
    <row r="7" spans="1:16" s="906" customFormat="1" ht="21" customHeight="1">
      <c r="A7" s="899"/>
      <c r="B7" s="899"/>
      <c r="C7" s="907" t="s">
        <v>385</v>
      </c>
      <c r="D7" s="901"/>
      <c r="E7" s="900" t="s">
        <v>26</v>
      </c>
      <c r="F7" s="900" t="s">
        <v>377</v>
      </c>
      <c r="G7" s="902"/>
      <c r="H7" s="903"/>
      <c r="I7" s="903"/>
      <c r="J7" s="904"/>
      <c r="K7" s="905"/>
    </row>
    <row r="8" spans="1:16" s="906" customFormat="1" ht="21" customHeight="1">
      <c r="A8" s="899"/>
      <c r="B8" s="899"/>
      <c r="C8" s="907" t="s">
        <v>388</v>
      </c>
      <c r="D8" s="901"/>
      <c r="E8" s="900" t="s">
        <v>26</v>
      </c>
      <c r="F8" s="908" t="s">
        <v>375</v>
      </c>
      <c r="G8" s="909"/>
      <c r="H8" s="903"/>
      <c r="I8" s="910"/>
      <c r="J8" s="907"/>
      <c r="K8" s="911"/>
    </row>
    <row r="9" spans="1:16" s="906" customFormat="1" ht="21" customHeight="1">
      <c r="A9" s="899"/>
      <c r="B9" s="899"/>
      <c r="C9" s="907" t="s">
        <v>386</v>
      </c>
      <c r="D9" s="901"/>
      <c r="E9" s="900" t="s">
        <v>26</v>
      </c>
      <c r="F9" s="912" t="s">
        <v>376</v>
      </c>
      <c r="G9" s="909"/>
      <c r="H9" s="903"/>
      <c r="I9" s="903"/>
      <c r="J9" s="904"/>
      <c r="K9" s="911"/>
    </row>
    <row r="10" spans="1:16" s="906" customFormat="1" ht="21" customHeight="1">
      <c r="A10" s="899"/>
      <c r="B10" s="899"/>
      <c r="C10" s="907" t="s">
        <v>387</v>
      </c>
      <c r="D10" s="901"/>
      <c r="E10" s="900" t="s">
        <v>26</v>
      </c>
      <c r="F10" s="907" t="s">
        <v>348</v>
      </c>
      <c r="G10" s="909"/>
      <c r="H10" s="903"/>
      <c r="I10" s="903"/>
      <c r="J10" s="904"/>
      <c r="K10" s="911"/>
    </row>
    <row r="11" spans="1:16" s="919" customFormat="1" ht="18" customHeight="1" thickBot="1">
      <c r="A11" s="913"/>
      <c r="B11" s="913"/>
      <c r="C11" s="914"/>
      <c r="D11" s="914"/>
      <c r="E11" s="914"/>
      <c r="F11" s="915"/>
      <c r="G11" s="915"/>
      <c r="H11" s="916"/>
      <c r="I11" s="917"/>
      <c r="J11" s="918"/>
      <c r="K11" s="918"/>
      <c r="L11" s="918"/>
    </row>
    <row r="12" spans="1:16" s="925" customFormat="1" ht="12.75" customHeight="1" thickTop="1">
      <c r="A12" s="920"/>
      <c r="B12" s="920"/>
      <c r="C12" s="1220" t="s">
        <v>0</v>
      </c>
      <c r="D12" s="1209" t="s">
        <v>7</v>
      </c>
      <c r="E12" s="1210"/>
      <c r="F12" s="1210"/>
      <c r="G12" s="1211"/>
      <c r="H12" s="1222" t="s">
        <v>6</v>
      </c>
      <c r="I12" s="921"/>
      <c r="J12" s="922"/>
      <c r="K12" s="923"/>
      <c r="L12" s="923"/>
      <c r="M12" s="924"/>
      <c r="N12" s="924"/>
      <c r="O12" s="924"/>
      <c r="P12" s="924"/>
    </row>
    <row r="13" spans="1:16" s="925" customFormat="1" ht="18" customHeight="1">
      <c r="A13" s="920"/>
      <c r="B13" s="920"/>
      <c r="C13" s="1221"/>
      <c r="D13" s="1212"/>
      <c r="E13" s="1213"/>
      <c r="F13" s="1213"/>
      <c r="G13" s="1214"/>
      <c r="H13" s="1223"/>
      <c r="I13" s="921"/>
      <c r="J13" s="922"/>
      <c r="K13" s="926"/>
      <c r="L13" s="926"/>
      <c r="M13" s="924"/>
      <c r="N13" s="924"/>
      <c r="O13" s="927"/>
      <c r="P13" s="927"/>
    </row>
    <row r="14" spans="1:16" s="919" customFormat="1" ht="17.399999999999999" customHeight="1" thickBot="1">
      <c r="A14" s="913"/>
      <c r="B14" s="913"/>
      <c r="C14" s="928" t="s">
        <v>9</v>
      </c>
      <c r="D14" s="1215" t="s">
        <v>10</v>
      </c>
      <c r="E14" s="1216"/>
      <c r="F14" s="1216"/>
      <c r="G14" s="1217"/>
      <c r="H14" s="929" t="s">
        <v>11</v>
      </c>
      <c r="I14" s="930"/>
      <c r="J14" s="931"/>
      <c r="K14" s="932"/>
      <c r="L14" s="933"/>
      <c r="M14" s="934"/>
      <c r="N14" s="934"/>
      <c r="O14" s="934"/>
      <c r="P14" s="934"/>
    </row>
    <row r="15" spans="1:16" s="919" customFormat="1" ht="17.399999999999999" customHeight="1" thickTop="1">
      <c r="A15" s="913"/>
      <c r="B15" s="913"/>
      <c r="C15" s="935"/>
      <c r="D15" s="936"/>
      <c r="E15" s="937"/>
      <c r="F15" s="938"/>
      <c r="G15" s="938"/>
      <c r="H15" s="939"/>
      <c r="I15" s="940"/>
      <c r="J15" s="931"/>
      <c r="K15" s="932"/>
      <c r="L15" s="933"/>
      <c r="M15" s="934"/>
      <c r="N15" s="934"/>
      <c r="O15" s="934"/>
      <c r="P15" s="934"/>
    </row>
    <row r="16" spans="1:16" s="919" customFormat="1" ht="17.399999999999999" customHeight="1">
      <c r="A16" s="913"/>
      <c r="B16" s="913"/>
      <c r="C16" s="941" t="str">
        <f>RAB!B14</f>
        <v>A</v>
      </c>
      <c r="D16" s="942" t="str">
        <f>RAB!C14</f>
        <v>PEKERJAAN PENDAHULUAN</v>
      </c>
      <c r="E16" s="943"/>
      <c r="F16" s="944"/>
      <c r="G16" s="944"/>
      <c r="H16" s="945">
        <f>RAB!$M$26</f>
        <v>24825000</v>
      </c>
      <c r="I16" s="917"/>
      <c r="J16" s="946">
        <f>RAB!M26</f>
        <v>24825000</v>
      </c>
      <c r="K16" s="932"/>
      <c r="L16" s="933"/>
      <c r="M16" s="934"/>
      <c r="N16" s="934"/>
      <c r="O16" s="934"/>
      <c r="P16" s="934"/>
    </row>
    <row r="17" spans="1:16" s="919" customFormat="1" ht="17.399999999999999" customHeight="1">
      <c r="A17" s="913"/>
      <c r="B17" s="913"/>
      <c r="C17" s="941" t="str">
        <f>RAB!B27</f>
        <v>B</v>
      </c>
      <c r="D17" s="942" t="str">
        <f>RAB!C27</f>
        <v>PEKERJAAN PAVING SELASAR KELILING</v>
      </c>
      <c r="E17" s="943"/>
      <c r="F17" s="944"/>
      <c r="G17" s="944"/>
      <c r="H17" s="945">
        <f>RAB!$M$45</f>
        <v>1681005349.9266484</v>
      </c>
      <c r="I17" s="917"/>
      <c r="J17" s="946"/>
      <c r="K17" s="932"/>
      <c r="L17" s="933"/>
      <c r="M17" s="934"/>
      <c r="N17" s="934"/>
      <c r="O17" s="934"/>
      <c r="P17" s="934"/>
    </row>
    <row r="18" spans="1:16" s="919" customFormat="1" ht="17.399999999999999" customHeight="1">
      <c r="A18" s="913"/>
      <c r="B18" s="913"/>
      <c r="C18" s="941" t="str">
        <f>RAB!B46</f>
        <v>C</v>
      </c>
      <c r="D18" s="942" t="str">
        <f>RAB!C46</f>
        <v>PEKERJAAN DRAINASE</v>
      </c>
      <c r="E18" s="943"/>
      <c r="F18" s="944"/>
      <c r="G18" s="944"/>
      <c r="H18" s="945">
        <f>RAB!$M$81</f>
        <v>286685721.35247934</v>
      </c>
      <c r="I18" s="917"/>
      <c r="J18" s="946"/>
      <c r="K18" s="932"/>
      <c r="L18" s="933"/>
      <c r="M18" s="934"/>
      <c r="N18" s="934"/>
      <c r="O18" s="934"/>
      <c r="P18" s="934"/>
    </row>
    <row r="19" spans="1:16" s="957" customFormat="1" ht="17.399999999999999" customHeight="1">
      <c r="A19" s="947"/>
      <c r="B19" s="947"/>
      <c r="C19" s="948" t="str">
        <f>RAB!B82</f>
        <v>D</v>
      </c>
      <c r="D19" s="949" t="str">
        <f>RAB!C82</f>
        <v>PEKERJAAN AREA PARKIR BASEMENT</v>
      </c>
      <c r="E19" s="950"/>
      <c r="F19" s="951"/>
      <c r="G19" s="951"/>
      <c r="H19" s="945">
        <f>RAB!$M$120</f>
        <v>2966102123.5362864</v>
      </c>
      <c r="I19" s="952"/>
      <c r="J19" s="953">
        <f>RAB!M120</f>
        <v>2966102123.5362864</v>
      </c>
      <c r="K19" s="954"/>
      <c r="L19" s="955"/>
      <c r="M19" s="956"/>
      <c r="N19" s="956"/>
      <c r="O19" s="956"/>
      <c r="P19" s="956"/>
    </row>
    <row r="20" spans="1:16" s="957" customFormat="1" ht="17.399999999999999" customHeight="1">
      <c r="A20" s="947"/>
      <c r="B20" s="947"/>
      <c r="C20" s="948" t="str">
        <f>RAB!B121</f>
        <v>E</v>
      </c>
      <c r="D20" s="949" t="str">
        <f>RAB!C121</f>
        <v>PEKERJAAN KAMAR MANDI LANTAI 1</v>
      </c>
      <c r="E20" s="950"/>
      <c r="F20" s="951"/>
      <c r="G20" s="951"/>
      <c r="H20" s="945">
        <f>RAB!$M$232</f>
        <v>126313067.98866665</v>
      </c>
      <c r="I20" s="952"/>
      <c r="J20" s="953">
        <f>RAB!M232</f>
        <v>126313067.98866665</v>
      </c>
      <c r="K20" s="954"/>
      <c r="L20" s="955"/>
      <c r="M20" s="956"/>
      <c r="N20" s="956"/>
      <c r="O20" s="956"/>
      <c r="P20" s="956"/>
    </row>
    <row r="21" spans="1:16" s="919" customFormat="1" ht="17.399999999999999" customHeight="1">
      <c r="A21" s="913"/>
      <c r="B21" s="913"/>
      <c r="C21" s="948" t="str">
        <f>RAB!B233</f>
        <v>F</v>
      </c>
      <c r="D21" s="949" t="str">
        <f>RAB!C233</f>
        <v>PEKERJAAN KAMAR MANDI LANTAI 2</v>
      </c>
      <c r="E21" s="950"/>
      <c r="F21" s="951"/>
      <c r="G21" s="951"/>
      <c r="H21" s="945">
        <f>RAB!$M$375</f>
        <v>277314650.42599994</v>
      </c>
      <c r="I21" s="917"/>
      <c r="J21" s="946">
        <f>RAB!M375</f>
        <v>277314650.42599994</v>
      </c>
      <c r="K21" s="932"/>
      <c r="L21" s="933"/>
      <c r="M21" s="934"/>
      <c r="N21" s="934"/>
      <c r="O21" s="934"/>
      <c r="P21" s="934"/>
    </row>
    <row r="22" spans="1:16" s="919" customFormat="1" ht="17.399999999999999" customHeight="1">
      <c r="A22" s="913"/>
      <c r="B22" s="913"/>
      <c r="C22" s="958" t="str">
        <f>RAB!B376</f>
        <v>G</v>
      </c>
      <c r="D22" s="959" t="str">
        <f>RAB!C376</f>
        <v>PEKERJAAN REHAB RUANG VIP</v>
      </c>
      <c r="E22" s="960"/>
      <c r="F22" s="961"/>
      <c r="G22" s="961"/>
      <c r="H22" s="962">
        <f>RAB!$M$448</f>
        <v>116515543.22828886</v>
      </c>
      <c r="I22" s="917"/>
      <c r="J22" s="946"/>
      <c r="K22" s="932"/>
      <c r="L22" s="933"/>
      <c r="M22" s="934"/>
      <c r="N22" s="934"/>
      <c r="O22" s="934"/>
      <c r="P22" s="934"/>
    </row>
    <row r="23" spans="1:16" s="919" customFormat="1" ht="17.399999999999999" customHeight="1">
      <c r="A23" s="913"/>
      <c r="B23" s="913"/>
      <c r="C23" s="958" t="str">
        <f>RAB!B449</f>
        <v>H</v>
      </c>
      <c r="D23" s="959" t="str">
        <f>RAB!C449</f>
        <v>PEKERJAAN REHAB LOBBY VIP</v>
      </c>
      <c r="E23" s="960"/>
      <c r="F23" s="961"/>
      <c r="G23" s="961"/>
      <c r="H23" s="962">
        <f>RAB!$M$468</f>
        <v>68092397.900000006</v>
      </c>
      <c r="I23" s="917"/>
      <c r="J23" s="946"/>
      <c r="K23" s="932"/>
      <c r="L23" s="933"/>
      <c r="M23" s="934"/>
      <c r="N23" s="934"/>
      <c r="O23" s="934"/>
      <c r="P23" s="934"/>
    </row>
    <row r="24" spans="1:16" s="919" customFormat="1" ht="17.399999999999999" customHeight="1">
      <c r="A24" s="913"/>
      <c r="B24" s="913"/>
      <c r="C24" s="958" t="str">
        <f>RAB!B469</f>
        <v>I</v>
      </c>
      <c r="D24" s="959" t="str">
        <f>RAB!C469</f>
        <v>PEKERJAAN REHAB LOBBY SAMPING</v>
      </c>
      <c r="E24" s="960"/>
      <c r="F24" s="961"/>
      <c r="G24" s="961"/>
      <c r="H24" s="962">
        <f>RAB!$M$483</f>
        <v>24855934.399999999</v>
      </c>
      <c r="I24" s="917"/>
      <c r="J24" s="946"/>
      <c r="K24" s="932"/>
      <c r="L24" s="933"/>
      <c r="M24" s="934"/>
      <c r="N24" s="934"/>
      <c r="O24" s="934"/>
      <c r="P24" s="934"/>
    </row>
    <row r="25" spans="1:16" s="919" customFormat="1" ht="17.399999999999999" customHeight="1">
      <c r="A25" s="913"/>
      <c r="B25" s="913"/>
      <c r="C25" s="958" t="str">
        <f>RAB!B484</f>
        <v>J</v>
      </c>
      <c r="D25" s="959" t="str">
        <f>RAB!C484</f>
        <v>PEKERJAAN REHAB RUANG SARANA PRASARANA</v>
      </c>
      <c r="E25" s="960"/>
      <c r="F25" s="961"/>
      <c r="G25" s="961"/>
      <c r="H25" s="962">
        <f>RAB!$M$502</f>
        <v>42475066.140000001</v>
      </c>
      <c r="I25" s="917"/>
      <c r="J25" s="946"/>
      <c r="K25" s="932"/>
      <c r="L25" s="933"/>
      <c r="M25" s="934"/>
      <c r="N25" s="934"/>
      <c r="O25" s="934"/>
      <c r="P25" s="934"/>
    </row>
    <row r="26" spans="1:16" s="919" customFormat="1" ht="17.399999999999999" customHeight="1">
      <c r="A26" s="913"/>
      <c r="B26" s="913"/>
      <c r="C26" s="958" t="str">
        <f>RAB!B503</f>
        <v>K</v>
      </c>
      <c r="D26" s="959" t="str">
        <f>RAB!C503</f>
        <v>PEKERJAAN REHAB RUANG CETAK BOLA</v>
      </c>
      <c r="E26" s="963"/>
      <c r="F26" s="964"/>
      <c r="G26" s="964"/>
      <c r="H26" s="962">
        <f>RAB!$M$520</f>
        <v>14730582.340000002</v>
      </c>
      <c r="I26" s="917"/>
      <c r="J26" s="946">
        <f>RAB!M468</f>
        <v>68092397.900000006</v>
      </c>
      <c r="K26" s="965"/>
      <c r="L26" s="933"/>
      <c r="M26" s="934"/>
      <c r="N26" s="934"/>
      <c r="O26" s="934"/>
      <c r="P26" s="934"/>
    </row>
    <row r="27" spans="1:16" s="919" customFormat="1" ht="17.399999999999999" customHeight="1">
      <c r="A27" s="913"/>
      <c r="B27" s="913"/>
      <c r="C27" s="958" t="str">
        <f>RAB!B521</f>
        <v>L</v>
      </c>
      <c r="D27" s="959" t="str">
        <f>RAB!C521</f>
        <v>PEKERJAAN REHAB RUANG KORMI</v>
      </c>
      <c r="E27" s="963"/>
      <c r="F27" s="964"/>
      <c r="G27" s="964"/>
      <c r="H27" s="962">
        <f>RAB!$M$526</f>
        <v>9216754.3500000015</v>
      </c>
      <c r="I27" s="917"/>
      <c r="J27" s="946">
        <f>RAB!M578</f>
        <v>65035741.949368</v>
      </c>
      <c r="K27" s="965"/>
      <c r="L27" s="933"/>
      <c r="M27" s="934"/>
      <c r="N27" s="934"/>
      <c r="O27" s="934"/>
      <c r="P27" s="934"/>
    </row>
    <row r="28" spans="1:16" s="919" customFormat="1" ht="17.399999999999999" customHeight="1">
      <c r="A28" s="913"/>
      <c r="B28" s="913"/>
      <c r="C28" s="958" t="str">
        <f>RAB!B527</f>
        <v>M</v>
      </c>
      <c r="D28" s="959" t="str">
        <f>RAB!C527</f>
        <v>PEKERJAAN REHAB RUANG PDBI</v>
      </c>
      <c r="E28" s="960"/>
      <c r="F28" s="961"/>
      <c r="G28" s="961"/>
      <c r="H28" s="962">
        <f>RAB!$M$578</f>
        <v>65035741.949368</v>
      </c>
      <c r="I28" s="917"/>
      <c r="J28" s="946"/>
      <c r="K28" s="965"/>
      <c r="L28" s="933"/>
      <c r="M28" s="934"/>
      <c r="N28" s="934"/>
      <c r="O28" s="934"/>
      <c r="P28" s="934"/>
    </row>
    <row r="29" spans="1:16" s="919" customFormat="1" ht="17.399999999999999" customHeight="1">
      <c r="A29" s="913"/>
      <c r="B29" s="913"/>
      <c r="C29" s="958" t="str">
        <f>RAB!B579</f>
        <v>N</v>
      </c>
      <c r="D29" s="959" t="str">
        <f>RAB!C579</f>
        <v xml:space="preserve">PEKERJAAN ATAP </v>
      </c>
      <c r="E29" s="960"/>
      <c r="F29" s="961"/>
      <c r="G29" s="961"/>
      <c r="H29" s="962">
        <f>RAB!$M$582</f>
        <v>2000000</v>
      </c>
      <c r="I29" s="917"/>
      <c r="J29" s="946"/>
      <c r="K29" s="965"/>
      <c r="L29" s="933"/>
      <c r="M29" s="934"/>
      <c r="N29" s="934"/>
      <c r="O29" s="934"/>
      <c r="P29" s="934"/>
    </row>
    <row r="30" spans="1:16" s="919" customFormat="1" ht="17.399999999999999" customHeight="1">
      <c r="A30" s="913"/>
      <c r="B30" s="913"/>
      <c r="C30" s="958" t="str">
        <f>RAB!B583</f>
        <v>O</v>
      </c>
      <c r="D30" s="959" t="str">
        <f>RAB!C583</f>
        <v>PEKERJAAN KORIDOR &amp; TRIBUN</v>
      </c>
      <c r="E30" s="960"/>
      <c r="F30" s="961"/>
      <c r="G30" s="961"/>
      <c r="H30" s="962">
        <f>RAB!$M$589</f>
        <v>248712466.87499997</v>
      </c>
      <c r="I30" s="917"/>
      <c r="J30" s="946"/>
      <c r="K30" s="965"/>
      <c r="L30" s="933"/>
      <c r="M30" s="934"/>
      <c r="N30" s="934"/>
      <c r="O30" s="934"/>
      <c r="P30" s="934"/>
    </row>
    <row r="31" spans="1:16" s="919" customFormat="1" ht="17.399999999999999" customHeight="1">
      <c r="A31" s="913"/>
      <c r="B31" s="913"/>
      <c r="C31" s="958" t="str">
        <f>RAB!B590</f>
        <v>P</v>
      </c>
      <c r="D31" s="959" t="str">
        <f>RAB!C590</f>
        <v>PEKERJAAN AREA LANSCAPE</v>
      </c>
      <c r="E31" s="960"/>
      <c r="F31" s="961"/>
      <c r="G31" s="961"/>
      <c r="H31" s="962">
        <f>RAB!$M$605</f>
        <v>38080539.5</v>
      </c>
      <c r="I31" s="917"/>
      <c r="J31" s="946"/>
      <c r="K31" s="965"/>
      <c r="L31" s="933"/>
      <c r="M31" s="934"/>
      <c r="N31" s="934"/>
      <c r="O31" s="934"/>
      <c r="P31" s="934"/>
    </row>
    <row r="32" spans="1:16" s="919" customFormat="1" ht="17.399999999999999" customHeight="1" thickBot="1">
      <c r="A32" s="913"/>
      <c r="B32" s="913"/>
      <c r="C32" s="966"/>
      <c r="D32" s="967"/>
      <c r="E32" s="968"/>
      <c r="F32" s="968"/>
      <c r="G32" s="968"/>
      <c r="H32" s="969"/>
      <c r="I32" s="917"/>
      <c r="J32" s="946"/>
      <c r="K32" s="970"/>
      <c r="L32" s="971"/>
      <c r="M32" s="972"/>
      <c r="N32" s="972"/>
      <c r="O32" s="972"/>
      <c r="P32" s="972"/>
    </row>
    <row r="33" spans="1:16" s="919" customFormat="1" ht="21.75" customHeight="1" thickTop="1">
      <c r="A33" s="913"/>
      <c r="B33" s="913"/>
      <c r="C33" s="973"/>
      <c r="D33" s="974"/>
      <c r="E33" s="975"/>
      <c r="F33" s="976"/>
      <c r="G33" s="977" t="s">
        <v>340</v>
      </c>
      <c r="H33" s="978">
        <f>SUM(H16:H32)</f>
        <v>5991960939.9127369</v>
      </c>
      <c r="J33" s="979">
        <f>RAB!M606</f>
        <v>5991960939.9127369</v>
      </c>
      <c r="K33" s="980"/>
      <c r="L33" s="981"/>
      <c r="M33" s="982"/>
      <c r="N33" s="982"/>
      <c r="O33" s="982"/>
      <c r="P33" s="983"/>
    </row>
    <row r="34" spans="1:16" s="919" customFormat="1" ht="21.75" customHeight="1">
      <c r="A34" s="913"/>
      <c r="B34" s="913"/>
      <c r="C34" s="984"/>
      <c r="D34" s="985"/>
      <c r="E34" s="986"/>
      <c r="F34" s="987"/>
      <c r="G34" s="988" t="s">
        <v>341</v>
      </c>
      <c r="H34" s="989">
        <f>H33*11/100</f>
        <v>659115703.39040112</v>
      </c>
      <c r="J34" s="979">
        <f>J36/1.11</f>
        <v>5991891891.8918915</v>
      </c>
      <c r="K34" s="980"/>
      <c r="L34" s="981"/>
      <c r="M34" s="982"/>
      <c r="N34" s="982"/>
      <c r="O34" s="982"/>
      <c r="P34" s="990"/>
    </row>
    <row r="35" spans="1:16" s="919" customFormat="1" ht="21.75" customHeight="1">
      <c r="A35" s="913"/>
      <c r="B35" s="913"/>
      <c r="C35" s="984"/>
      <c r="D35" s="985"/>
      <c r="E35" s="986"/>
      <c r="F35" s="987"/>
      <c r="G35" s="991" t="s">
        <v>342</v>
      </c>
      <c r="H35" s="992">
        <f>H33+H34</f>
        <v>6651076643.3031378</v>
      </c>
      <c r="J35" s="965"/>
      <c r="K35" s="980"/>
      <c r="L35" s="981"/>
      <c r="M35" s="982"/>
      <c r="N35" s="982"/>
      <c r="O35" s="982"/>
      <c r="P35" s="990"/>
    </row>
    <row r="36" spans="1:16" s="919" customFormat="1" ht="21.75" customHeight="1" thickBot="1">
      <c r="A36" s="913"/>
      <c r="B36" s="913"/>
      <c r="C36" s="993"/>
      <c r="D36" s="994"/>
      <c r="E36" s="995"/>
      <c r="F36" s="996"/>
      <c r="G36" s="997" t="s">
        <v>5</v>
      </c>
      <c r="H36" s="998">
        <f>ROUNDDOWN(H35,-5)</f>
        <v>6651000000</v>
      </c>
      <c r="J36" s="979">
        <v>6651000000</v>
      </c>
      <c r="K36" s="980">
        <f>RAB!N348</f>
        <v>0</v>
      </c>
      <c r="L36" s="981">
        <f>J37-K36</f>
        <v>0</v>
      </c>
      <c r="M36" s="982"/>
      <c r="N36" s="982"/>
      <c r="O36" s="982"/>
      <c r="P36" s="990"/>
    </row>
    <row r="37" spans="1:16" s="925" customFormat="1" ht="33" customHeight="1" thickTop="1" thickBot="1">
      <c r="A37" s="920"/>
      <c r="B37" s="920"/>
      <c r="C37" s="999" t="s">
        <v>39</v>
      </c>
      <c r="D37" s="1000"/>
      <c r="E37" s="1000" t="str">
        <f>C86</f>
        <v>Enam Milyar Enam Ratus Lima Puluh Satu Juta Rupiah</v>
      </c>
      <c r="F37" s="1000"/>
      <c r="G37" s="1000"/>
      <c r="H37" s="1001"/>
      <c r="J37" s="979">
        <f>H36-J36</f>
        <v>0</v>
      </c>
      <c r="K37" s="1002"/>
      <c r="L37" s="1003"/>
      <c r="M37" s="1004"/>
      <c r="N37" s="1004"/>
      <c r="O37" s="1004"/>
      <c r="P37" s="1005"/>
    </row>
    <row r="38" spans="1:16" s="919" customFormat="1" ht="14.25" customHeight="1" thickTop="1">
      <c r="A38" s="913"/>
      <c r="B38" s="913"/>
      <c r="C38" s="981"/>
      <c r="D38" s="981"/>
      <c r="E38" s="981"/>
      <c r="F38" s="906"/>
      <c r="G38" s="906"/>
      <c r="H38" s="1006"/>
      <c r="J38" s="965"/>
      <c r="K38" s="980"/>
      <c r="L38" s="981"/>
      <c r="M38" s="982"/>
      <c r="N38" s="982"/>
      <c r="O38" s="982"/>
      <c r="P38" s="990"/>
    </row>
    <row r="39" spans="1:16" s="919" customFormat="1" ht="16.2" customHeight="1">
      <c r="A39" s="913"/>
      <c r="B39" s="913"/>
      <c r="C39" s="981"/>
      <c r="D39" s="981"/>
      <c r="E39" s="981"/>
      <c r="F39" s="906"/>
      <c r="G39" s="1007" t="s">
        <v>512</v>
      </c>
      <c r="H39" s="1006"/>
      <c r="J39" s="965"/>
      <c r="K39" s="980"/>
      <c r="L39" s="981"/>
      <c r="M39" s="982"/>
      <c r="N39" s="982"/>
      <c r="O39" s="982"/>
      <c r="P39" s="990"/>
    </row>
    <row r="40" spans="1:16" s="1008" customFormat="1" ht="16.2" customHeight="1">
      <c r="E40" s="1009" t="s">
        <v>346</v>
      </c>
      <c r="G40" s="1007" t="s">
        <v>61</v>
      </c>
      <c r="I40" s="1010"/>
      <c r="J40" s="1010"/>
      <c r="K40" s="1010"/>
      <c r="L40" s="1011"/>
      <c r="M40" s="1011"/>
      <c r="N40" s="1011"/>
      <c r="O40" s="990"/>
    </row>
    <row r="41" spans="1:16" s="1008" customFormat="1" ht="16.2" customHeight="1">
      <c r="E41" s="1012" t="s">
        <v>702</v>
      </c>
      <c r="F41" s="1013"/>
      <c r="G41" s="1012" t="s">
        <v>702</v>
      </c>
      <c r="I41" s="1014"/>
      <c r="J41" s="1015"/>
      <c r="K41" s="1015"/>
      <c r="L41" s="1016"/>
      <c r="M41" s="1016"/>
      <c r="N41" s="1016"/>
      <c r="O41" s="990"/>
    </row>
    <row r="42" spans="1:16" s="1008" customFormat="1" ht="16.2" customHeight="1">
      <c r="E42" s="1017"/>
      <c r="F42" s="1013"/>
      <c r="G42" s="1017"/>
      <c r="I42" s="1015"/>
      <c r="J42" s="1015"/>
      <c r="K42" s="1015"/>
      <c r="L42" s="1014"/>
      <c r="M42" s="1015"/>
      <c r="N42" s="1015"/>
      <c r="O42" s="990"/>
    </row>
    <row r="43" spans="1:16" s="1008" customFormat="1" ht="16.2" customHeight="1">
      <c r="E43" s="1017"/>
      <c r="F43" s="1013"/>
      <c r="G43" s="1017"/>
      <c r="I43" s="1015"/>
      <c r="J43" s="1015"/>
      <c r="K43" s="1015"/>
      <c r="L43" s="1018"/>
      <c r="M43" s="1015"/>
      <c r="N43" s="1015"/>
      <c r="O43" s="990"/>
    </row>
    <row r="44" spans="1:16" s="1008" customFormat="1" ht="16.2" customHeight="1">
      <c r="E44" s="1017"/>
      <c r="F44" s="1013"/>
      <c r="G44" s="1017"/>
      <c r="I44" s="1014"/>
      <c r="J44" s="1015"/>
      <c r="K44" s="1015"/>
      <c r="L44" s="1016"/>
      <c r="M44" s="1016"/>
      <c r="N44" s="1016"/>
      <c r="O44" s="1019"/>
    </row>
    <row r="45" spans="1:16" s="919" customFormat="1" ht="16.2" customHeight="1">
      <c r="A45" s="913"/>
      <c r="B45" s="913"/>
      <c r="E45" s="1020" t="s">
        <v>828</v>
      </c>
      <c r="F45" s="1013"/>
      <c r="G45" s="1020" t="s">
        <v>827</v>
      </c>
      <c r="J45" s="965"/>
      <c r="K45" s="965"/>
      <c r="N45" s="972"/>
      <c r="O45" s="972"/>
      <c r="P45" s="1021"/>
    </row>
    <row r="46" spans="1:16" s="919" customFormat="1" ht="16.2" customHeight="1">
      <c r="E46" s="1009" t="s">
        <v>343</v>
      </c>
      <c r="F46" s="1013"/>
      <c r="G46" s="1009" t="s">
        <v>927</v>
      </c>
      <c r="J46" s="965"/>
      <c r="K46" s="965"/>
      <c r="N46" s="972"/>
      <c r="O46" s="972"/>
      <c r="P46" s="1021"/>
    </row>
    <row r="47" spans="1:16" s="919" customFormat="1" ht="16.2" customHeight="1">
      <c r="E47" s="1009"/>
      <c r="F47" s="1009"/>
      <c r="G47" s="1009"/>
      <c r="J47" s="965"/>
      <c r="K47" s="965"/>
      <c r="N47" s="972"/>
      <c r="O47" s="972"/>
      <c r="P47" s="1021"/>
    </row>
    <row r="48" spans="1:16" s="919" customFormat="1" ht="16.2" customHeight="1">
      <c r="A48" s="913"/>
      <c r="B48" s="913"/>
      <c r="C48" s="1022"/>
      <c r="F48" s="1009" t="s">
        <v>214</v>
      </c>
      <c r="G48" s="1009"/>
      <c r="H48" s="1006"/>
      <c r="J48" s="965"/>
      <c r="K48" s="965"/>
      <c r="L48" s="965"/>
    </row>
    <row r="49" spans="1:12" s="919" customFormat="1" ht="16.2" customHeight="1">
      <c r="A49" s="913"/>
      <c r="B49" s="913"/>
      <c r="C49" s="1022"/>
      <c r="E49" s="957"/>
      <c r="F49" s="1012" t="s">
        <v>246</v>
      </c>
      <c r="H49" s="1023"/>
      <c r="J49" s="965"/>
      <c r="K49" s="965"/>
      <c r="L49" s="965"/>
    </row>
    <row r="50" spans="1:12" s="919" customFormat="1" ht="16.2" customHeight="1">
      <c r="A50" s="913"/>
      <c r="B50" s="913"/>
      <c r="C50" s="1022"/>
      <c r="F50" s="1012" t="s">
        <v>247</v>
      </c>
      <c r="H50" s="1024"/>
      <c r="J50" s="965"/>
      <c r="K50" s="965"/>
      <c r="L50" s="965"/>
    </row>
    <row r="51" spans="1:12" s="919" customFormat="1" ht="16.2" customHeight="1">
      <c r="A51" s="913"/>
      <c r="B51" s="913"/>
      <c r="C51" s="1022"/>
      <c r="G51" s="1012"/>
      <c r="H51" s="1025"/>
      <c r="J51" s="965"/>
      <c r="K51" s="965"/>
      <c r="L51" s="965"/>
    </row>
    <row r="52" spans="1:12" s="919" customFormat="1" ht="16.2" customHeight="1">
      <c r="A52" s="913"/>
      <c r="B52" s="913"/>
      <c r="C52" s="1022"/>
      <c r="G52" s="1012"/>
      <c r="H52" s="1025"/>
      <c r="J52" s="965"/>
      <c r="K52" s="965"/>
      <c r="L52" s="965"/>
    </row>
    <row r="53" spans="1:12" s="957" customFormat="1" ht="16.2" customHeight="1">
      <c r="A53" s="947"/>
      <c r="B53" s="947"/>
      <c r="C53" s="1026"/>
      <c r="E53" s="919"/>
      <c r="F53" s="1020"/>
      <c r="G53" s="1009"/>
      <c r="H53" s="1023"/>
    </row>
    <row r="54" spans="1:12" s="957" customFormat="1" ht="16.2" customHeight="1">
      <c r="A54" s="947"/>
      <c r="B54" s="947"/>
      <c r="C54" s="1026"/>
      <c r="E54" s="919"/>
      <c r="F54" s="1020" t="s">
        <v>825</v>
      </c>
      <c r="G54" s="919"/>
      <c r="H54" s="1027"/>
    </row>
    <row r="55" spans="1:12" s="957" customFormat="1" ht="16.2" customHeight="1">
      <c r="A55" s="947"/>
      <c r="B55" s="947"/>
      <c r="C55" s="1026"/>
      <c r="E55" s="919"/>
      <c r="F55" s="1009" t="s">
        <v>826</v>
      </c>
      <c r="G55" s="919"/>
      <c r="H55" s="1027"/>
    </row>
    <row r="56" spans="1:12" ht="13.8">
      <c r="C56" s="375"/>
      <c r="D56" s="107"/>
      <c r="E56" s="107"/>
      <c r="F56" s="107"/>
      <c r="G56" s="107"/>
      <c r="H56" s="376"/>
    </row>
    <row r="57" spans="1:12" ht="13.8">
      <c r="C57" s="375"/>
      <c r="D57" s="107"/>
      <c r="E57" s="107"/>
      <c r="F57" s="107"/>
      <c r="G57" s="107"/>
      <c r="H57" s="376"/>
    </row>
    <row r="81" spans="1:12" ht="16.2" thickBot="1"/>
    <row r="82" spans="1:12" ht="13.8">
      <c r="A82" s="112" t="s">
        <v>27</v>
      </c>
      <c r="B82" s="371"/>
      <c r="C82" s="113"/>
      <c r="D82" s="113"/>
      <c r="E82" s="113"/>
      <c r="F82" s="114"/>
      <c r="G82" s="114"/>
      <c r="H82" s="114"/>
      <c r="I82" s="114"/>
      <c r="J82" s="113"/>
      <c r="K82" s="113"/>
      <c r="L82" s="115"/>
    </row>
    <row r="83" spans="1:12" ht="14.4" thickBot="1">
      <c r="A83" s="116"/>
      <c r="B83" s="372"/>
      <c r="C83" s="117"/>
      <c r="D83" s="117"/>
      <c r="E83" s="117"/>
      <c r="F83" s="118"/>
      <c r="G83" s="118"/>
      <c r="H83" s="118"/>
      <c r="I83" s="118"/>
      <c r="J83" s="117"/>
      <c r="K83" s="117"/>
      <c r="L83" s="119"/>
    </row>
    <row r="84" spans="1:12" ht="15" thickTop="1" thickBot="1">
      <c r="A84" s="120"/>
      <c r="B84" s="117"/>
      <c r="C84" s="121">
        <f>H36</f>
        <v>6651000000</v>
      </c>
      <c r="D84" s="117"/>
      <c r="E84" s="122">
        <v>1</v>
      </c>
      <c r="F84" s="117" t="s">
        <v>28</v>
      </c>
      <c r="G84" s="117"/>
      <c r="H84" s="117"/>
      <c r="I84" s="117"/>
      <c r="J84" s="117"/>
      <c r="K84" s="117"/>
      <c r="L84" s="119"/>
    </row>
    <row r="85" spans="1:12" ht="15" thickTop="1" thickBot="1">
      <c r="A85" s="120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9"/>
    </row>
    <row r="86" spans="1:12" ht="15" thickTop="1" thickBot="1">
      <c r="A86" s="123" t="s">
        <v>29</v>
      </c>
      <c r="B86" s="373"/>
      <c r="C86" s="124" t="str">
        <f>PROPER(IF(E84=1,C149,IF(E84=2,I144,"")))</f>
        <v>Enam Milyar Enam Ratus Lima Puluh Satu Juta Rupiah</v>
      </c>
      <c r="D86" s="125"/>
      <c r="E86" s="125"/>
      <c r="F86" s="125"/>
      <c r="G86" s="125"/>
      <c r="H86" s="125"/>
      <c r="I86" s="125"/>
      <c r="J86" s="117"/>
      <c r="K86" s="117"/>
      <c r="L86" s="119"/>
    </row>
    <row r="87" spans="1:12" ht="15" thickTop="1" thickBot="1">
      <c r="A87" s="120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9"/>
    </row>
    <row r="88" spans="1:12" ht="13.8">
      <c r="A88" s="123" t="s">
        <v>30</v>
      </c>
      <c r="B88" s="373"/>
      <c r="C88" s="126" t="s">
        <v>31</v>
      </c>
      <c r="D88" s="127"/>
      <c r="E88" s="127"/>
      <c r="F88" s="127"/>
      <c r="G88" s="117"/>
      <c r="H88" s="128" t="s">
        <v>32</v>
      </c>
      <c r="I88" s="117"/>
      <c r="J88" s="117"/>
      <c r="K88" s="117"/>
      <c r="L88" s="119"/>
    </row>
    <row r="89" spans="1:12" ht="14.4" thickBot="1">
      <c r="A89" s="120"/>
      <c r="B89" s="117"/>
      <c r="C89" s="129" t="s">
        <v>33</v>
      </c>
      <c r="D89" s="130"/>
      <c r="E89" s="130"/>
      <c r="F89" s="130"/>
      <c r="G89" s="117"/>
      <c r="H89" s="131" t="s">
        <v>32</v>
      </c>
      <c r="I89" s="117"/>
      <c r="J89" s="117"/>
      <c r="K89" s="117"/>
      <c r="L89" s="119"/>
    </row>
    <row r="90" spans="1:12" ht="13.8">
      <c r="A90" s="120"/>
      <c r="B90" s="117"/>
      <c r="C90" s="117" t="str">
        <f>IF(TRUNC(C84)&lt;&gt;0,RIGHT("000000000000"&amp;FIXED(TRUNC(C84),0,TRUE),12),"000000000000")</f>
        <v>006651000000</v>
      </c>
      <c r="D90" s="117"/>
      <c r="E90" s="117"/>
      <c r="F90" s="117"/>
      <c r="G90" s="117"/>
      <c r="H90" s="131" t="s">
        <v>32</v>
      </c>
      <c r="I90" s="117"/>
      <c r="J90" s="117"/>
      <c r="K90" s="117"/>
      <c r="L90" s="119"/>
    </row>
    <row r="91" spans="1:12" ht="13.8">
      <c r="A91" s="132" t="s">
        <v>34</v>
      </c>
      <c r="B91" s="374"/>
      <c r="C91" s="128" t="s">
        <v>32</v>
      </c>
      <c r="D91" s="128" t="s">
        <v>32</v>
      </c>
      <c r="E91" s="128" t="s">
        <v>32</v>
      </c>
      <c r="F91" s="128" t="s">
        <v>32</v>
      </c>
      <c r="G91" s="128"/>
      <c r="H91" s="131" t="s">
        <v>32</v>
      </c>
      <c r="I91" s="128"/>
      <c r="J91" s="117"/>
      <c r="K91" s="117"/>
      <c r="L91" s="119"/>
    </row>
    <row r="92" spans="1:12" ht="13.8">
      <c r="A92" s="132" t="s">
        <v>35</v>
      </c>
      <c r="B92" s="374"/>
      <c r="C92" s="133" t="str">
        <f>IF(VALUE(C90)&gt;0,MID(C90,12-(D92*3)+1,3),"")</f>
        <v>000</v>
      </c>
      <c r="D92" s="134">
        <v>1</v>
      </c>
      <c r="E92" s="117"/>
      <c r="F92" s="117"/>
      <c r="G92" s="117"/>
      <c r="H92" s="131" t="s">
        <v>32</v>
      </c>
      <c r="I92" s="117"/>
      <c r="J92" s="117"/>
      <c r="K92" s="117"/>
      <c r="L92" s="119"/>
    </row>
    <row r="93" spans="1:12" ht="13.8">
      <c r="A93" s="132" t="s">
        <v>36</v>
      </c>
      <c r="B93" s="374"/>
      <c r="C93" s="135">
        <f>IF(TRIM(C92)&lt;&gt;"",VALUE(MID(C92,1,1)),0)</f>
        <v>0</v>
      </c>
      <c r="D93" s="136" t="str">
        <f>IF(AND(C84&lt;&gt;0,C95&gt;1),TRIM(MID(C88,(C95-1)*8+1,8))&amp;" puluh "," ")</f>
        <v xml:space="preserve"> </v>
      </c>
      <c r="E93" s="117"/>
      <c r="F93" s="117"/>
      <c r="G93" s="117"/>
      <c r="H93" s="131" t="s">
        <v>32</v>
      </c>
      <c r="I93" s="117"/>
      <c r="J93" s="117"/>
      <c r="K93" s="117"/>
      <c r="L93" s="119"/>
    </row>
    <row r="94" spans="1:12" ht="13.8">
      <c r="A94" s="132" t="s">
        <v>37</v>
      </c>
      <c r="B94" s="374"/>
      <c r="C94" s="135" t="str">
        <f>IF(C84&lt;&gt;0,IF(C93=1,"seratus ",IF(C93=0,"",TRIM(MID(C88,(C93-1)*8+1,8))&amp;" ratus")),"")</f>
        <v/>
      </c>
      <c r="D94" s="136" t="str">
        <f>IF(C84&lt;&gt;0,IF(C96=0,"sepuluh ",IF(C96=1,"sebelas ",TRIM(MID(C88,(C96-1)*8+1,8))&amp;" belas ")),"")</f>
        <v xml:space="preserve">sepuluh </v>
      </c>
      <c r="E94" s="117"/>
      <c r="F94" s="117"/>
      <c r="G94" s="117"/>
      <c r="H94" s="131" t="s">
        <v>32</v>
      </c>
      <c r="I94" s="117"/>
      <c r="J94" s="117"/>
      <c r="K94" s="117"/>
      <c r="L94" s="119"/>
    </row>
    <row r="95" spans="1:12" ht="13.8">
      <c r="A95" s="132" t="s">
        <v>34</v>
      </c>
      <c r="B95" s="374"/>
      <c r="C95" s="135">
        <f>IF(C84&lt;&gt;0,VALUE(MID(C92,2,1)),0)</f>
        <v>0</v>
      </c>
      <c r="D95" s="136" t="str">
        <f>IF(C84&lt;&gt;0,IF(C96&lt;&gt;0,TRIM(MID(C88,(C96-1)*8+1,8))&amp;" ",""),"")</f>
        <v/>
      </c>
      <c r="E95" s="117"/>
      <c r="F95" s="117"/>
      <c r="G95" s="117"/>
      <c r="H95" s="131" t="s">
        <v>32</v>
      </c>
      <c r="I95" s="117"/>
      <c r="J95" s="117"/>
      <c r="K95" s="117"/>
      <c r="L95" s="119"/>
    </row>
    <row r="96" spans="1:12" ht="13.8">
      <c r="A96" s="132" t="s">
        <v>34</v>
      </c>
      <c r="B96" s="374"/>
      <c r="C96" s="135">
        <f>IF(C84&lt;&gt;0,VALUE(MID(C92,3,1)),0)</f>
        <v>0</v>
      </c>
      <c r="D96" s="136" t="str">
        <f>IF(AND(C84&lt;&gt;0,C96&gt;0),D93&amp;TRIM(MID(C88,(C96-1)*8+1,8))&amp;" ",+D93)</f>
        <v xml:space="preserve"> </v>
      </c>
      <c r="E96" s="117"/>
      <c r="F96" s="117"/>
      <c r="G96" s="117"/>
      <c r="H96" s="131" t="s">
        <v>32</v>
      </c>
      <c r="I96" s="117"/>
      <c r="J96" s="117"/>
      <c r="K96" s="117"/>
      <c r="L96" s="119"/>
    </row>
    <row r="97" spans="1:12" ht="13.8">
      <c r="A97" s="132" t="s">
        <v>34</v>
      </c>
      <c r="B97" s="374"/>
      <c r="C97" s="135" t="str">
        <f>IF(C95=1,+D94,IF(C95=0,D95,D96))</f>
        <v/>
      </c>
      <c r="D97" s="136" t="str">
        <f>IF(VALUE(TRIM(C92))&lt;&gt;0,IF(AND(VALUE(TRIM(C92))=1,D92=2),"se",C97),"")</f>
        <v/>
      </c>
      <c r="E97" s="117"/>
      <c r="F97" s="117"/>
      <c r="G97" s="117"/>
      <c r="H97" s="131" t="s">
        <v>32</v>
      </c>
      <c r="I97" s="117"/>
      <c r="J97" s="117"/>
      <c r="K97" s="117"/>
      <c r="L97" s="119"/>
    </row>
    <row r="98" spans="1:12" ht="13.8">
      <c r="A98" s="132" t="s">
        <v>34</v>
      </c>
      <c r="B98" s="374"/>
      <c r="C98" s="135" t="str">
        <f>IF(VALUE(TRIM(C92))&lt;&gt;0,C94&amp;" "&amp;D97&amp;TRIM(MID(C89,(D92-1)*7+1,7))&amp;" ","")</f>
        <v/>
      </c>
      <c r="D98" s="136"/>
      <c r="E98" s="117"/>
      <c r="F98" s="117"/>
      <c r="G98" s="117"/>
      <c r="H98" s="131" t="s">
        <v>32</v>
      </c>
      <c r="I98" s="117"/>
      <c r="J98" s="117"/>
      <c r="K98" s="117"/>
      <c r="L98" s="119"/>
    </row>
    <row r="99" spans="1:12" ht="13.8">
      <c r="A99" s="132" t="s">
        <v>34</v>
      </c>
      <c r="B99" s="374"/>
      <c r="C99" s="137"/>
      <c r="D99" s="138"/>
      <c r="E99" s="117"/>
      <c r="F99" s="117"/>
      <c r="G99" s="117"/>
      <c r="H99" s="131" t="s">
        <v>32</v>
      </c>
      <c r="I99" s="117"/>
      <c r="J99" s="117"/>
      <c r="K99" s="117"/>
      <c r="L99" s="119"/>
    </row>
    <row r="100" spans="1:12" ht="13.8">
      <c r="A100" s="132" t="s">
        <v>34</v>
      </c>
      <c r="B100" s="374"/>
      <c r="C100" s="117"/>
      <c r="D100" s="117"/>
      <c r="E100" s="117"/>
      <c r="F100" s="117"/>
      <c r="G100" s="117"/>
      <c r="H100" s="131" t="s">
        <v>32</v>
      </c>
      <c r="I100" s="117"/>
      <c r="J100" s="117"/>
      <c r="K100" s="117"/>
      <c r="L100" s="119"/>
    </row>
    <row r="101" spans="1:12" ht="13.8">
      <c r="A101" s="132" t="s">
        <v>34</v>
      </c>
      <c r="B101" s="374"/>
      <c r="C101" s="133" t="str">
        <f>IF(VALUE(C90)&gt;0,MID(C90,12-(D101*3)+1,3),"")</f>
        <v>000</v>
      </c>
      <c r="D101" s="134">
        <v>2</v>
      </c>
      <c r="E101" s="117"/>
      <c r="F101" s="117"/>
      <c r="G101" s="117"/>
      <c r="H101" s="131" t="s">
        <v>32</v>
      </c>
      <c r="I101" s="117"/>
      <c r="J101" s="117"/>
      <c r="K101" s="117"/>
      <c r="L101" s="119"/>
    </row>
    <row r="102" spans="1:12" ht="13.8">
      <c r="A102" s="132" t="s">
        <v>34</v>
      </c>
      <c r="B102" s="374"/>
      <c r="C102" s="135">
        <f>IF(TRIM(C101)&lt;&gt;"",VALUE(MID(C101,1,1)),0)</f>
        <v>0</v>
      </c>
      <c r="D102" s="136" t="str">
        <f>IF(AND(C84&lt;&gt;0,C104&gt;1),TRIM(MID(C88,(C104-1)*8+1,8))&amp;" puluh "," ")</f>
        <v xml:space="preserve"> </v>
      </c>
      <c r="E102" s="117"/>
      <c r="F102" s="117"/>
      <c r="G102" s="117"/>
      <c r="H102" s="131" t="s">
        <v>32</v>
      </c>
      <c r="I102" s="117"/>
      <c r="J102" s="117"/>
      <c r="K102" s="117"/>
      <c r="L102" s="119"/>
    </row>
    <row r="103" spans="1:12" ht="13.8">
      <c r="A103" s="132" t="s">
        <v>34</v>
      </c>
      <c r="B103" s="374"/>
      <c r="C103" s="135" t="str">
        <f>IF(C84&lt;&gt;0,IF(C102=1,"seratus ",IF(C102=0,"",TRIM(MID(C88,(C102-1)*8+1,8))&amp;" ratus")),"")</f>
        <v/>
      </c>
      <c r="D103" s="136" t="str">
        <f>IF(C84&lt;&gt;0,IF(C105=0,"sepuluh ",IF(C105=1,"sebelas ",TRIM(MID(C88,(C105-1)*8+1,8))&amp;" belas ")),"")</f>
        <v xml:space="preserve">sepuluh </v>
      </c>
      <c r="E103" s="117"/>
      <c r="F103" s="117"/>
      <c r="G103" s="117"/>
      <c r="H103" s="131" t="s">
        <v>32</v>
      </c>
      <c r="I103" s="117"/>
      <c r="J103" s="117"/>
      <c r="K103" s="117"/>
      <c r="L103" s="119"/>
    </row>
    <row r="104" spans="1:12" ht="13.8">
      <c r="A104" s="132" t="s">
        <v>34</v>
      </c>
      <c r="B104" s="374"/>
      <c r="C104" s="135">
        <f>IF(C84&lt;&gt;0,VALUE(MID(C101,2,1)),0)</f>
        <v>0</v>
      </c>
      <c r="D104" s="136" t="str">
        <f>IF(C84&lt;&gt;0,IF(C105&lt;&gt;0,TRIM(MID(C88,(C105-1)*8+1,8))&amp;" ",""),"")</f>
        <v/>
      </c>
      <c r="E104" s="117"/>
      <c r="F104" s="117"/>
      <c r="G104" s="117"/>
      <c r="H104" s="131" t="s">
        <v>32</v>
      </c>
      <c r="I104" s="117"/>
      <c r="J104" s="117"/>
      <c r="K104" s="117"/>
      <c r="L104" s="119"/>
    </row>
    <row r="105" spans="1:12" ht="13.8">
      <c r="A105" s="132" t="s">
        <v>34</v>
      </c>
      <c r="B105" s="374"/>
      <c r="C105" s="135">
        <f>IF(C84&lt;&gt;0,VALUE(MID(C101,3,1)),0)</f>
        <v>0</v>
      </c>
      <c r="D105" s="136" t="str">
        <f>IF(AND(C84&lt;&gt;0,C105&gt;0),D102&amp;TRIM(MID(C88,(C105-1)*8+1,8))&amp;" ",+D102)</f>
        <v xml:space="preserve"> </v>
      </c>
      <c r="E105" s="117"/>
      <c r="F105" s="117"/>
      <c r="G105" s="117"/>
      <c r="H105" s="131" t="s">
        <v>32</v>
      </c>
      <c r="I105" s="117"/>
      <c r="J105" s="117"/>
      <c r="K105" s="117"/>
      <c r="L105" s="119"/>
    </row>
    <row r="106" spans="1:12" ht="13.8">
      <c r="A106" s="132" t="s">
        <v>34</v>
      </c>
      <c r="B106" s="374"/>
      <c r="C106" s="135" t="str">
        <f>IF(C104=1,+D103,IF(C104=0,D104,D105))</f>
        <v/>
      </c>
      <c r="D106" s="136" t="str">
        <f>IF(VALUE(TRIM(C101))&lt;&gt;0,IF(AND(VALUE(TRIM(C101))=1,D101=2),"se",C106),"")</f>
        <v/>
      </c>
      <c r="E106" s="117"/>
      <c r="F106" s="117"/>
      <c r="G106" s="117"/>
      <c r="H106" s="131" t="s">
        <v>32</v>
      </c>
      <c r="I106" s="117"/>
      <c r="J106" s="117"/>
      <c r="K106" s="117"/>
      <c r="L106" s="119"/>
    </row>
    <row r="107" spans="1:12" ht="13.8">
      <c r="A107" s="132" t="s">
        <v>34</v>
      </c>
      <c r="B107" s="374"/>
      <c r="C107" s="135" t="str">
        <f>IF(VALUE(TRIM(C101))&lt;&gt;0,C103&amp;" "&amp;D106&amp;TRIM(MID(C89,(D101-1)*7+1,7))&amp;" ","")</f>
        <v/>
      </c>
      <c r="D107" s="136"/>
      <c r="E107" s="117"/>
      <c r="F107" s="117"/>
      <c r="G107" s="117"/>
      <c r="H107" s="131" t="s">
        <v>32</v>
      </c>
      <c r="I107" s="117"/>
      <c r="J107" s="117"/>
      <c r="K107" s="117"/>
      <c r="L107" s="119"/>
    </row>
    <row r="108" spans="1:12" ht="13.8">
      <c r="A108" s="132" t="s">
        <v>34</v>
      </c>
      <c r="B108" s="374"/>
      <c r="C108" s="137"/>
      <c r="D108" s="138"/>
      <c r="E108" s="117"/>
      <c r="F108" s="117"/>
      <c r="G108" s="117"/>
      <c r="H108" s="131" t="s">
        <v>32</v>
      </c>
      <c r="I108" s="117"/>
      <c r="J108" s="117"/>
      <c r="K108" s="117"/>
      <c r="L108" s="119"/>
    </row>
    <row r="109" spans="1:12" ht="13.8">
      <c r="A109" s="132" t="s">
        <v>34</v>
      </c>
      <c r="B109" s="374"/>
      <c r="C109" s="117"/>
      <c r="D109" s="117"/>
      <c r="E109" s="117"/>
      <c r="F109" s="117"/>
      <c r="G109" s="117"/>
      <c r="H109" s="131" t="s">
        <v>32</v>
      </c>
      <c r="I109" s="117"/>
      <c r="J109" s="117"/>
      <c r="K109" s="117"/>
      <c r="L109" s="119"/>
    </row>
    <row r="110" spans="1:12" ht="13.8">
      <c r="A110" s="132" t="s">
        <v>34</v>
      </c>
      <c r="B110" s="374"/>
      <c r="C110" s="133" t="str">
        <f>IF(VALUE(C90)&gt;0,MID(C90,12-(D110*3)+1,3),"")</f>
        <v>651</v>
      </c>
      <c r="D110" s="134">
        <v>3</v>
      </c>
      <c r="E110" s="117"/>
      <c r="F110" s="117"/>
      <c r="G110" s="117"/>
      <c r="H110" s="131" t="s">
        <v>32</v>
      </c>
      <c r="I110" s="117"/>
      <c r="J110" s="117"/>
      <c r="K110" s="117"/>
      <c r="L110" s="119"/>
    </row>
    <row r="111" spans="1:12" ht="13.8">
      <c r="A111" s="132" t="s">
        <v>34</v>
      </c>
      <c r="B111" s="374"/>
      <c r="C111" s="135">
        <f>IF(TRIM(C110)&lt;&gt;"",VALUE(MID(C110,1,1)),0)</f>
        <v>6</v>
      </c>
      <c r="D111" s="136" t="str">
        <f>IF(AND(C84&lt;&gt;0,C113&gt;1),TRIM(MID(C88,(C113-1)*8+1,8))&amp;" puluh "," ")</f>
        <v xml:space="preserve">lima puluh </v>
      </c>
      <c r="E111" s="117"/>
      <c r="F111" s="117"/>
      <c r="G111" s="117"/>
      <c r="H111" s="131" t="s">
        <v>32</v>
      </c>
      <c r="I111" s="117"/>
      <c r="J111" s="117"/>
      <c r="K111" s="117"/>
      <c r="L111" s="119"/>
    </row>
    <row r="112" spans="1:12" ht="13.8">
      <c r="A112" s="132" t="s">
        <v>34</v>
      </c>
      <c r="B112" s="374"/>
      <c r="C112" s="135" t="str">
        <f>IF(C84&lt;&gt;0,IF(C111=1,"seratus ",IF(C111=0,"",TRIM(MID(C88,(C111-1)*8+1,8))&amp;" ratus")),"")</f>
        <v>enam ratus</v>
      </c>
      <c r="D112" s="136" t="str">
        <f>IF(C84&lt;&gt;0,IF(C114=0,"sepuluh ",IF(C114=1,"sebelas ",TRIM(MID(C88,(C114-1)*8+1,8))&amp;" belas ")),"")</f>
        <v xml:space="preserve">sebelas </v>
      </c>
      <c r="E112" s="117"/>
      <c r="F112" s="117"/>
      <c r="G112" s="117"/>
      <c r="H112" s="131" t="s">
        <v>32</v>
      </c>
      <c r="I112" s="117"/>
      <c r="J112" s="117"/>
      <c r="K112" s="117"/>
      <c r="L112" s="119"/>
    </row>
    <row r="113" spans="1:12" ht="13.8">
      <c r="A113" s="132" t="s">
        <v>34</v>
      </c>
      <c r="B113" s="374"/>
      <c r="C113" s="135">
        <f>IF(C84&lt;&gt;0,VALUE(MID(C110,2,1)),0)</f>
        <v>5</v>
      </c>
      <c r="D113" s="136" t="str">
        <f>IF(C84&lt;&gt;0,IF(C114&lt;&gt;0,TRIM(MID(C88,(C114-1)*8+1,8))&amp;" ",""),"")</f>
        <v xml:space="preserve">satu </v>
      </c>
      <c r="E113" s="117"/>
      <c r="F113" s="117"/>
      <c r="G113" s="117"/>
      <c r="H113" s="131" t="s">
        <v>32</v>
      </c>
      <c r="I113" s="117"/>
      <c r="J113" s="117"/>
      <c r="K113" s="117"/>
      <c r="L113" s="119"/>
    </row>
    <row r="114" spans="1:12" ht="13.8">
      <c r="A114" s="132" t="s">
        <v>34</v>
      </c>
      <c r="B114" s="374"/>
      <c r="C114" s="135">
        <f>IF(C84&lt;&gt;0,VALUE(MID(C110,3,1)),0)</f>
        <v>1</v>
      </c>
      <c r="D114" s="136" t="str">
        <f>IF(AND(C84&lt;&gt;0,C114&gt;0),D111&amp;TRIM(MID(C88,(C114-1)*8+1,8))&amp;" ",+D111)</f>
        <v xml:space="preserve">lima puluh satu </v>
      </c>
      <c r="E114" s="117"/>
      <c r="F114" s="117"/>
      <c r="G114" s="117"/>
      <c r="H114" s="131" t="s">
        <v>32</v>
      </c>
      <c r="I114" s="117"/>
      <c r="J114" s="117"/>
      <c r="K114" s="117"/>
      <c r="L114" s="119"/>
    </row>
    <row r="115" spans="1:12" ht="13.8">
      <c r="A115" s="132" t="s">
        <v>34</v>
      </c>
      <c r="B115" s="374"/>
      <c r="C115" s="135" t="str">
        <f>IF(C113=1,+D112,IF(C113=0,D113,D114))</f>
        <v xml:space="preserve">lima puluh satu </v>
      </c>
      <c r="D115" s="136" t="str">
        <f>IF(VALUE(TRIM(C110))&lt;&gt;0,IF(AND(VALUE(TRIM(C110))=1,D110=2),"se",C115),"")</f>
        <v xml:space="preserve">lima puluh satu </v>
      </c>
      <c r="E115" s="117"/>
      <c r="F115" s="117"/>
      <c r="G115" s="117"/>
      <c r="H115" s="131" t="s">
        <v>32</v>
      </c>
      <c r="I115" s="117"/>
      <c r="J115" s="117"/>
      <c r="K115" s="117"/>
      <c r="L115" s="119"/>
    </row>
    <row r="116" spans="1:12" ht="13.8">
      <c r="A116" s="132" t="s">
        <v>34</v>
      </c>
      <c r="B116" s="374"/>
      <c r="C116" s="135" t="str">
        <f>IF(VALUE(TRIM(C110))&lt;&gt;0,C112&amp;" "&amp;D115&amp;TRIM(MID(C89,(D110-1)*7+1,7))&amp;" ","")</f>
        <v xml:space="preserve">enam ratus lima puluh satu juta </v>
      </c>
      <c r="D116" s="136"/>
      <c r="E116" s="117"/>
      <c r="F116" s="117"/>
      <c r="G116" s="117"/>
      <c r="H116" s="131" t="s">
        <v>32</v>
      </c>
      <c r="I116" s="117"/>
      <c r="J116" s="117"/>
      <c r="K116" s="117"/>
      <c r="L116" s="119"/>
    </row>
    <row r="117" spans="1:12" ht="13.8">
      <c r="A117" s="132" t="s">
        <v>34</v>
      </c>
      <c r="B117" s="374"/>
      <c r="C117" s="137"/>
      <c r="D117" s="138"/>
      <c r="E117" s="117"/>
      <c r="F117" s="117"/>
      <c r="G117" s="117"/>
      <c r="H117" s="131" t="s">
        <v>32</v>
      </c>
      <c r="I117" s="117"/>
      <c r="J117" s="117"/>
      <c r="K117" s="117"/>
      <c r="L117" s="119"/>
    </row>
    <row r="118" spans="1:12" ht="13.8">
      <c r="A118" s="132" t="s">
        <v>34</v>
      </c>
      <c r="B118" s="374"/>
      <c r="C118" s="117"/>
      <c r="D118" s="117"/>
      <c r="E118" s="117"/>
      <c r="F118" s="117"/>
      <c r="G118" s="117"/>
      <c r="H118" s="131" t="s">
        <v>32</v>
      </c>
      <c r="I118" s="117"/>
      <c r="J118" s="117"/>
      <c r="K118" s="117"/>
      <c r="L118" s="119"/>
    </row>
    <row r="119" spans="1:12" ht="13.8">
      <c r="A119" s="132" t="s">
        <v>34</v>
      </c>
      <c r="B119" s="374"/>
      <c r="C119" s="133" t="str">
        <f>IF(VALUE(C90)&gt;0,MID(C90,12-(D119*3)+1,3),"")</f>
        <v>006</v>
      </c>
      <c r="D119" s="134">
        <v>4</v>
      </c>
      <c r="E119" s="117"/>
      <c r="F119" s="117"/>
      <c r="G119" s="117"/>
      <c r="H119" s="131" t="s">
        <v>32</v>
      </c>
      <c r="I119" s="117"/>
      <c r="J119" s="117"/>
      <c r="K119" s="117"/>
      <c r="L119" s="119"/>
    </row>
    <row r="120" spans="1:12" ht="13.8">
      <c r="A120" s="132" t="s">
        <v>34</v>
      </c>
      <c r="B120" s="374"/>
      <c r="C120" s="135">
        <f>IF(TRIM(C119)&lt;&gt;"",VALUE(MID(C119,1,1)),0)</f>
        <v>0</v>
      </c>
      <c r="D120" s="136" t="str">
        <f>IF(AND(C84&lt;&gt;0,C130&gt;1),TRIM(MID(C88,(C130-1)*8+1,8))&amp;" puluh "," ")</f>
        <v xml:space="preserve"> </v>
      </c>
      <c r="E120" s="117"/>
      <c r="F120" s="117"/>
      <c r="G120" s="117"/>
      <c r="H120" s="131" t="s">
        <v>32</v>
      </c>
      <c r="I120" s="117"/>
      <c r="J120" s="117"/>
      <c r="K120" s="117"/>
      <c r="L120" s="119"/>
    </row>
    <row r="121" spans="1:12" ht="13.8">
      <c r="A121" s="132"/>
      <c r="B121" s="374"/>
      <c r="C121" s="135"/>
      <c r="D121" s="136"/>
      <c r="E121" s="117"/>
      <c r="F121" s="117"/>
      <c r="G121" s="117"/>
      <c r="H121" s="131"/>
      <c r="I121" s="117"/>
      <c r="J121" s="117"/>
      <c r="K121" s="117"/>
      <c r="L121" s="119"/>
    </row>
    <row r="122" spans="1:12" ht="13.8">
      <c r="A122" s="132"/>
      <c r="B122" s="374"/>
      <c r="C122" s="135"/>
      <c r="D122" s="136"/>
      <c r="E122" s="117"/>
      <c r="F122" s="117"/>
      <c r="G122" s="117"/>
      <c r="H122" s="131"/>
      <c r="I122" s="117"/>
      <c r="J122" s="117"/>
      <c r="K122" s="117"/>
      <c r="L122" s="119"/>
    </row>
    <row r="123" spans="1:12" ht="13.8">
      <c r="A123" s="132"/>
      <c r="B123" s="374"/>
      <c r="C123" s="135"/>
      <c r="D123" s="136"/>
      <c r="E123" s="117"/>
      <c r="F123" s="117"/>
      <c r="G123" s="117"/>
      <c r="H123" s="131"/>
      <c r="I123" s="117"/>
      <c r="J123" s="117"/>
      <c r="K123" s="117"/>
      <c r="L123" s="119"/>
    </row>
    <row r="124" spans="1:12" ht="13.8">
      <c r="A124" s="132"/>
      <c r="B124" s="374"/>
      <c r="C124" s="135"/>
      <c r="D124" s="136"/>
      <c r="E124" s="117"/>
      <c r="F124" s="117"/>
      <c r="G124" s="117"/>
      <c r="H124" s="131"/>
      <c r="I124" s="117"/>
      <c r="J124" s="117"/>
      <c r="K124" s="117"/>
      <c r="L124" s="119"/>
    </row>
    <row r="125" spans="1:12" ht="13.8">
      <c r="A125" s="132"/>
      <c r="B125" s="374"/>
      <c r="C125" s="135"/>
      <c r="D125" s="136"/>
      <c r="E125" s="117"/>
      <c r="F125" s="117"/>
      <c r="G125" s="117"/>
      <c r="H125" s="131"/>
      <c r="I125" s="117"/>
      <c r="J125" s="117"/>
      <c r="K125" s="117"/>
      <c r="L125" s="119"/>
    </row>
    <row r="126" spans="1:12" ht="13.8">
      <c r="A126" s="132"/>
      <c r="B126" s="374"/>
      <c r="C126" s="135"/>
      <c r="D126" s="136"/>
      <c r="E126" s="117"/>
      <c r="F126" s="117"/>
      <c r="G126" s="117"/>
      <c r="H126" s="131"/>
      <c r="I126" s="117"/>
      <c r="J126" s="117"/>
      <c r="K126" s="117"/>
      <c r="L126" s="119"/>
    </row>
    <row r="127" spans="1:12" ht="13.8">
      <c r="A127" s="132"/>
      <c r="B127" s="374"/>
      <c r="C127" s="135"/>
      <c r="D127" s="136"/>
      <c r="E127" s="117"/>
      <c r="F127" s="117"/>
      <c r="G127" s="117"/>
      <c r="H127" s="131"/>
      <c r="I127" s="117"/>
      <c r="J127" s="117"/>
      <c r="K127" s="117"/>
      <c r="L127" s="119"/>
    </row>
    <row r="128" spans="1:12" ht="13.8">
      <c r="A128" s="132"/>
      <c r="B128" s="374"/>
      <c r="C128" s="135"/>
      <c r="D128" s="136"/>
      <c r="E128" s="117"/>
      <c r="F128" s="117"/>
      <c r="G128" s="117"/>
      <c r="H128" s="131"/>
      <c r="I128" s="117"/>
      <c r="J128" s="117"/>
      <c r="K128" s="117"/>
      <c r="L128" s="119"/>
    </row>
    <row r="129" spans="1:12" ht="13.8">
      <c r="A129" s="132" t="s">
        <v>34</v>
      </c>
      <c r="B129" s="374"/>
      <c r="C129" s="135" t="str">
        <f>IF(C84&lt;&gt;0,IF(C120=1,"seratus ",IF(C120=0,"",TRIM(MID(C88,(C120-1)*8+1,8))&amp;" ratus")),"")</f>
        <v/>
      </c>
      <c r="D129" s="136" t="str">
        <f>IF(C84&lt;&gt;0,IF(C131=0,"sepuluh ",IF(C131=1,"sebelas ",TRIM(MID(C88,(C131-1)*8+1,8))&amp;" belas ")),"")</f>
        <v xml:space="preserve">enam belas </v>
      </c>
      <c r="E129" s="117"/>
      <c r="F129" s="117"/>
      <c r="G129" s="117"/>
      <c r="H129" s="131" t="s">
        <v>32</v>
      </c>
      <c r="I129" s="117"/>
      <c r="J129" s="117"/>
      <c r="K129" s="117"/>
      <c r="L129" s="119"/>
    </row>
    <row r="130" spans="1:12" ht="13.8">
      <c r="A130" s="132" t="s">
        <v>34</v>
      </c>
      <c r="B130" s="374"/>
      <c r="C130" s="135">
        <f>IF(C84&lt;&gt;0,VALUE(MID(C119,2,1)),0)</f>
        <v>0</v>
      </c>
      <c r="D130" s="136" t="str">
        <f>IF(C84&lt;&gt;0,IF(C131&lt;&gt;0,TRIM(MID(C88,(C131-1)*8+1,8))&amp;" ",""),"")</f>
        <v xml:space="preserve">enam </v>
      </c>
      <c r="E130" s="117"/>
      <c r="F130" s="117"/>
      <c r="G130" s="117"/>
      <c r="H130" s="131" t="s">
        <v>32</v>
      </c>
      <c r="I130" s="117"/>
      <c r="J130" s="117"/>
      <c r="K130" s="117"/>
      <c r="L130" s="119"/>
    </row>
    <row r="131" spans="1:12" ht="13.8">
      <c r="A131" s="132" t="s">
        <v>34</v>
      </c>
      <c r="B131" s="374"/>
      <c r="C131" s="135">
        <f>IF(C84&lt;&gt;0,VALUE(MID(C119,3,1)),0)</f>
        <v>6</v>
      </c>
      <c r="D131" s="136" t="str">
        <f>IF(AND(C84&lt;&gt;0,C131&gt;0),D120&amp;TRIM(MID(C88,(C131-1)*8+1,8))&amp;" ",+D120)</f>
        <v xml:space="preserve"> enam </v>
      </c>
      <c r="E131" s="117"/>
      <c r="F131" s="117"/>
      <c r="G131" s="117"/>
      <c r="H131" s="131" t="s">
        <v>32</v>
      </c>
      <c r="I131" s="117"/>
      <c r="J131" s="117"/>
      <c r="K131" s="117"/>
      <c r="L131" s="119"/>
    </row>
    <row r="132" spans="1:12" ht="13.8">
      <c r="A132" s="132" t="s">
        <v>34</v>
      </c>
      <c r="B132" s="374"/>
      <c r="C132" s="135" t="str">
        <f>IF(C130=1,+D129,IF(C130=0,D130,D131))</f>
        <v xml:space="preserve">enam </v>
      </c>
      <c r="D132" s="136" t="str">
        <f>IF(VALUE(TRIM(C119))&lt;&gt;0,IF(AND(VALUE(TRIM(C119))=1,D119=2),"se",C132),"")</f>
        <v xml:space="preserve">enam </v>
      </c>
      <c r="E132" s="117"/>
      <c r="F132" s="117"/>
      <c r="G132" s="117"/>
      <c r="H132" s="131" t="s">
        <v>32</v>
      </c>
      <c r="I132" s="117"/>
      <c r="J132" s="117"/>
      <c r="K132" s="117"/>
      <c r="L132" s="119"/>
    </row>
    <row r="133" spans="1:12" ht="13.8">
      <c r="A133" s="132" t="s">
        <v>34</v>
      </c>
      <c r="B133" s="374"/>
      <c r="C133" s="137" t="str">
        <f>IF(VALUE(TRIM(C119))&lt;&gt;0,C129&amp;" "&amp;D132&amp;TRIM(MID(C89,(D119-1)*7+1,7))&amp;" ","")</f>
        <v xml:space="preserve"> enam milyar </v>
      </c>
      <c r="D133" s="138"/>
      <c r="E133" s="117"/>
      <c r="F133" s="117"/>
      <c r="G133" s="117"/>
      <c r="H133" s="131" t="s">
        <v>32</v>
      </c>
      <c r="I133" s="117"/>
      <c r="J133" s="117"/>
      <c r="K133" s="117"/>
      <c r="L133" s="119"/>
    </row>
    <row r="134" spans="1:12" ht="13.8">
      <c r="A134" s="132" t="s">
        <v>34</v>
      </c>
      <c r="B134" s="374"/>
      <c r="C134" s="117"/>
      <c r="D134" s="117"/>
      <c r="E134" s="117"/>
      <c r="F134" s="117"/>
      <c r="G134" s="117"/>
      <c r="H134" s="131" t="s">
        <v>32</v>
      </c>
      <c r="I134" s="117"/>
      <c r="J134" s="117"/>
      <c r="K134" s="117"/>
      <c r="L134" s="119"/>
    </row>
    <row r="135" spans="1:12" ht="13.8">
      <c r="A135" s="132" t="s">
        <v>34</v>
      </c>
      <c r="B135" s="374"/>
      <c r="C135" s="133" t="str">
        <f>IF(E146&lt;&gt;"","0"&amp;E146,"")</f>
        <v>000</v>
      </c>
      <c r="D135" s="134">
        <v>1</v>
      </c>
      <c r="E135" s="117"/>
      <c r="F135" s="117"/>
      <c r="G135" s="117"/>
      <c r="H135" s="131" t="s">
        <v>32</v>
      </c>
      <c r="I135" s="117"/>
      <c r="J135" s="117"/>
      <c r="K135" s="117"/>
      <c r="L135" s="119"/>
    </row>
    <row r="136" spans="1:12" ht="13.8">
      <c r="A136" s="132" t="s">
        <v>34</v>
      </c>
      <c r="B136" s="374"/>
      <c r="C136" s="135">
        <f>IF(TRIM(C135)&lt;&gt;"",VALUE(MID(C135,1,1)),0)</f>
        <v>0</v>
      </c>
      <c r="D136" s="136" t="str">
        <f>IF(AND(C84&lt;&gt;0,C138&gt;1),TRIM(MID(C88,(C138-1)*8+1,8))&amp;" puluh "," ")</f>
        <v xml:space="preserve"> </v>
      </c>
      <c r="E136" s="117"/>
      <c r="F136" s="117"/>
      <c r="G136" s="117"/>
      <c r="H136" s="131" t="s">
        <v>32</v>
      </c>
      <c r="I136" s="117"/>
      <c r="J136" s="117"/>
      <c r="K136" s="117"/>
      <c r="L136" s="119"/>
    </row>
    <row r="137" spans="1:12" ht="13.8">
      <c r="A137" s="132" t="s">
        <v>34</v>
      </c>
      <c r="B137" s="374"/>
      <c r="C137" s="135" t="str">
        <f>IF(C84&lt;&gt;0,IF(C136=1,"seratus ",IF(C136=0,"",TRIM(MID(C88,(C136-1)*8+1,8))&amp;" ratus")),"")</f>
        <v/>
      </c>
      <c r="D137" s="136" t="str">
        <f>IF(C84&lt;&gt;0,IF(C141=0,"sepuluh ",IF(C141=1,"sebelas ",TRIM(MID(C88,(C141-1)*8+1,8))&amp;" belas ")),"")</f>
        <v xml:space="preserve">sepuluh </v>
      </c>
      <c r="E137" s="117"/>
      <c r="F137" s="117"/>
      <c r="G137" s="117"/>
      <c r="H137" s="131" t="s">
        <v>32</v>
      </c>
      <c r="I137" s="117"/>
      <c r="J137" s="117"/>
      <c r="K137" s="117"/>
      <c r="L137" s="119"/>
    </row>
    <row r="138" spans="1:12" ht="13.8">
      <c r="A138" s="132" t="s">
        <v>34</v>
      </c>
      <c r="B138" s="374"/>
      <c r="C138" s="135">
        <f>IF(C84&lt;&gt;0,VALUE(MID(C135,2,1)),0)</f>
        <v>0</v>
      </c>
      <c r="D138" s="136" t="str">
        <f>IF(C84&lt;&gt;0,IF(C141&lt;&gt;0,TRIM(MID(C88,(C141-1)*8+1,8))&amp;" ",""),"")</f>
        <v/>
      </c>
      <c r="E138" s="117"/>
      <c r="F138" s="117"/>
      <c r="G138" s="117"/>
      <c r="H138" s="131" t="s">
        <v>32</v>
      </c>
      <c r="I138" s="131"/>
      <c r="J138" s="117"/>
      <c r="K138" s="117"/>
      <c r="L138" s="119"/>
    </row>
    <row r="139" spans="1:12" ht="13.8">
      <c r="A139" s="132"/>
      <c r="B139" s="374"/>
      <c r="C139" s="135"/>
      <c r="D139" s="136"/>
      <c r="E139" s="117"/>
      <c r="F139" s="117"/>
      <c r="G139" s="117"/>
      <c r="H139" s="131"/>
      <c r="I139" s="131"/>
      <c r="J139" s="117"/>
      <c r="K139" s="117"/>
      <c r="L139" s="119"/>
    </row>
    <row r="140" spans="1:12" ht="13.8">
      <c r="A140" s="132"/>
      <c r="B140" s="374"/>
      <c r="C140" s="135"/>
      <c r="D140" s="136"/>
      <c r="E140" s="117"/>
      <c r="F140" s="117"/>
      <c r="G140" s="117"/>
      <c r="H140" s="131"/>
      <c r="I140" s="131"/>
      <c r="J140" s="117"/>
      <c r="K140" s="117"/>
      <c r="L140" s="119"/>
    </row>
    <row r="141" spans="1:12" ht="13.8">
      <c r="A141" s="132" t="s">
        <v>34</v>
      </c>
      <c r="B141" s="374"/>
      <c r="C141" s="135">
        <f>IF(C84&lt;&gt;0,VALUE(MID(C135,3,1)),0)</f>
        <v>0</v>
      </c>
      <c r="D141" s="136" t="str">
        <f>IF(AND(C84&lt;&gt;0,C141&gt;0),D136&amp;TRIM(MID(C88,(C141-1)*8+1,8))&amp;" ",+D136)</f>
        <v xml:space="preserve"> </v>
      </c>
      <c r="E141" s="117"/>
      <c r="F141" s="117"/>
      <c r="G141" s="117"/>
      <c r="H141" s="131" t="s">
        <v>32</v>
      </c>
      <c r="I141" s="117"/>
      <c r="J141" s="117"/>
      <c r="K141" s="117"/>
      <c r="L141" s="119"/>
    </row>
    <row r="142" spans="1:12" ht="13.8">
      <c r="A142" s="132" t="s">
        <v>34</v>
      </c>
      <c r="B142" s="374"/>
      <c r="C142" s="135" t="str">
        <f>IF(C138=1,+D137,IF(C138=0,D138,D141))</f>
        <v/>
      </c>
      <c r="D142" s="136" t="str">
        <f>IF(VALUE(TRIM(C135))&lt;&gt;0,IF(AND(VALUE(TRIM(C135))=1,D135=2),"se",C142),"")</f>
        <v/>
      </c>
      <c r="E142" s="117"/>
      <c r="F142" s="117"/>
      <c r="G142" s="117"/>
      <c r="H142" s="131" t="s">
        <v>32</v>
      </c>
      <c r="I142" s="117"/>
      <c r="J142" s="117"/>
      <c r="K142" s="117"/>
      <c r="L142" s="119"/>
    </row>
    <row r="143" spans="1:12" ht="13.8">
      <c r="A143" s="132" t="s">
        <v>34</v>
      </c>
      <c r="B143" s="374"/>
      <c r="C143" s="135" t="str">
        <f>IF(VALUE(TRIM(C135))&lt;&gt;0,C137&amp;" "&amp;D142&amp;TRIM(MID(C89,(D135-1)*7+1,7)),"")</f>
        <v/>
      </c>
      <c r="D143" s="136"/>
      <c r="E143" s="117"/>
      <c r="F143" s="117"/>
      <c r="G143" s="117"/>
      <c r="H143" s="131" t="s">
        <v>32</v>
      </c>
      <c r="I143" s="117"/>
      <c r="J143" s="117"/>
      <c r="K143" s="117"/>
      <c r="L143" s="119"/>
    </row>
    <row r="144" spans="1:12" ht="13.8">
      <c r="A144" s="132" t="s">
        <v>34</v>
      </c>
      <c r="B144" s="374"/>
      <c r="C144" s="137"/>
      <c r="D144" s="138"/>
      <c r="E144" s="117"/>
      <c r="F144" s="117"/>
      <c r="G144" s="117"/>
      <c r="H144" s="139" t="s">
        <v>38</v>
      </c>
      <c r="I144" s="117"/>
      <c r="J144" s="117"/>
      <c r="K144" s="117"/>
      <c r="L144" s="119"/>
    </row>
    <row r="145" spans="1:12" ht="13.8">
      <c r="A145" s="132" t="s">
        <v>34</v>
      </c>
      <c r="B145" s="374"/>
      <c r="C145" s="117"/>
      <c r="D145" s="117"/>
      <c r="E145" s="117"/>
      <c r="F145" s="117"/>
      <c r="G145" s="117"/>
      <c r="H145" s="117"/>
      <c r="I145" s="117"/>
      <c r="J145" s="117"/>
      <c r="K145" s="117"/>
      <c r="L145" s="119"/>
    </row>
    <row r="146" spans="1:12" ht="13.8">
      <c r="A146" s="132" t="s">
        <v>34</v>
      </c>
      <c r="B146" s="374"/>
      <c r="C146" s="133" t="str">
        <f>IF(VALUE(E146)=0,"",C143&amp;"sen")</f>
        <v/>
      </c>
      <c r="D146" s="140">
        <f>LEN(C148)</f>
        <v>50</v>
      </c>
      <c r="E146" s="140" t="str">
        <f>RIGHT(FIXED(C84,2,TRUE),2)</f>
        <v>00</v>
      </c>
      <c r="F146" s="140"/>
      <c r="G146" s="140"/>
      <c r="H146" s="140"/>
      <c r="I146" s="140"/>
      <c r="J146" s="117"/>
      <c r="K146" s="117"/>
      <c r="L146" s="119"/>
    </row>
    <row r="147" spans="1:12" ht="13.8">
      <c r="A147" s="132" t="s">
        <v>34</v>
      </c>
      <c r="B147" s="374"/>
      <c r="C147" s="135" t="str">
        <f>TRIM(C133&amp;C116&amp;C107&amp;C98)&amp;" rupiah"</f>
        <v>enam milyar enam ratus lima puluh satu juta rupiah</v>
      </c>
      <c r="D147" s="117" t="str">
        <f>IF(C147=" rupiah","",+C147)</f>
        <v>enam milyar enam ratus lima puluh satu juta rupiah</v>
      </c>
      <c r="E147" s="117"/>
      <c r="F147" s="117"/>
      <c r="G147" s="117"/>
      <c r="H147" s="117"/>
      <c r="I147" s="117"/>
      <c r="J147" s="117"/>
      <c r="K147" s="117"/>
      <c r="L147" s="119"/>
    </row>
    <row r="148" spans="1:12" ht="13.8">
      <c r="A148" s="132" t="s">
        <v>34</v>
      </c>
      <c r="B148" s="374"/>
      <c r="C148" s="135" t="str">
        <f>TRIM(D147&amp;C146)</f>
        <v>enam milyar enam ratus lima puluh satu juta rupiah</v>
      </c>
      <c r="D148" s="117"/>
      <c r="E148" s="117"/>
      <c r="F148" s="117"/>
      <c r="G148" s="117"/>
      <c r="H148" s="117"/>
      <c r="I148" s="117"/>
      <c r="J148" s="117"/>
      <c r="K148" s="117"/>
      <c r="L148" s="119"/>
    </row>
    <row r="149" spans="1:12" ht="13.8">
      <c r="A149" s="132" t="s">
        <v>34</v>
      </c>
      <c r="B149" s="374"/>
      <c r="C149" s="137" t="str">
        <f>IF(D146&lt;&gt;0,UPPER(LEFT(C148,1))&amp;RIGHT(C148,D146-1),"")&amp;""</f>
        <v>Enam milyar enam ratus lima puluh satu juta rupiah</v>
      </c>
      <c r="D149" s="141"/>
      <c r="E149" s="141"/>
      <c r="F149" s="141"/>
      <c r="G149" s="141"/>
      <c r="H149" s="141"/>
      <c r="I149" s="141"/>
      <c r="J149" s="117"/>
      <c r="K149" s="117"/>
      <c r="L149" s="119"/>
    </row>
    <row r="150" spans="1:12" ht="14.4" thickBot="1">
      <c r="A150" s="142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4"/>
    </row>
  </sheetData>
  <sortState xmlns:xlrd2="http://schemas.microsoft.com/office/spreadsheetml/2017/richdata2" ref="A9:P10">
    <sortCondition ref="A10"/>
  </sortState>
  <customSheetViews>
    <customSheetView guid="{F839FC9A-7C90-4EAF-87D8-67790108B2B5}" scale="75" showPageBreaks="1" showGridLines="0" printArea="1" hiddenRows="1" showRuler="0" topLeftCell="A28">
      <selection activeCell="B26" sqref="B26"/>
      <colBreaks count="1" manualBreakCount="1">
        <brk id="5" max="72" man="1"/>
      </colBreaks>
      <pageMargins left="0.56999999999999995" right="0.25" top="0.85" bottom="0.75" header="0.5" footer="0.25"/>
      <printOptions horizontalCentered="1"/>
      <pageSetup paperSize="256" scale="70" orientation="portrait" horizontalDpi="4294967292" verticalDpi="360" r:id="rId1"/>
      <headerFooter alignWithMargins="0"/>
    </customSheetView>
  </customSheetViews>
  <mergeCells count="7">
    <mergeCell ref="D12:G13"/>
    <mergeCell ref="D14:G14"/>
    <mergeCell ref="I3:L3"/>
    <mergeCell ref="C3:H3"/>
    <mergeCell ref="C12:C13"/>
    <mergeCell ref="H12:H13"/>
    <mergeCell ref="C4:H4"/>
  </mergeCells>
  <phoneticPr fontId="7" type="noConversion"/>
  <printOptions horizontalCentered="1"/>
  <pageMargins left="0.59055118110236227" right="0.39370078740157483" top="0.59055118110236227" bottom="0.78740157480314965" header="0.51181102362204722" footer="0.78740157480314965"/>
  <pageSetup paperSize="9" scale="80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outlinePr summaryBelow="0" summaryRight="0"/>
  </sheetPr>
  <dimension ref="B3:O612"/>
  <sheetViews>
    <sheetView view="pageBreakPreview" topLeftCell="A231" zoomScale="80" zoomScaleNormal="90" zoomScaleSheetLayoutView="80" workbookViewId="0">
      <selection activeCell="G63" sqref="G63"/>
    </sheetView>
  </sheetViews>
  <sheetFormatPr defaultColWidth="9.21875" defaultRowHeight="15" outlineLevelRow="2" outlineLevelCol="1"/>
  <cols>
    <col min="1" max="1" width="5.21875" style="766" customWidth="1"/>
    <col min="2" max="2" width="5.77734375" style="764" customWidth="1"/>
    <col min="3" max="3" width="5.5546875" style="764" customWidth="1"/>
    <col min="4" max="4" width="4.77734375" style="763" customWidth="1"/>
    <col min="5" max="5" width="8.5546875" style="764" customWidth="1"/>
    <col min="6" max="6" width="2" style="764" customWidth="1"/>
    <col min="7" max="7" width="41.77734375" style="769" customWidth="1"/>
    <col min="8" max="8" width="14.33203125" style="765" customWidth="1"/>
    <col min="9" max="9" width="7.21875" style="770" customWidth="1"/>
    <col min="10" max="10" width="16.44140625" style="771" customWidth="1" collapsed="1"/>
    <col min="11" max="11" width="89.5546875" style="772" hidden="1" customWidth="1" outlineLevel="1"/>
    <col min="12" max="12" width="21.33203125" style="770" customWidth="1"/>
    <col min="13" max="13" width="25.109375" style="770" customWidth="1"/>
    <col min="14" max="14" width="21.77734375" style="766" customWidth="1"/>
    <col min="15" max="15" width="21" style="1139" customWidth="1"/>
    <col min="16" max="16" width="16.77734375" style="766" customWidth="1"/>
    <col min="17" max="16384" width="9.21875" style="766"/>
  </cols>
  <sheetData>
    <row r="3" spans="2:15" s="898" customFormat="1" ht="28.2">
      <c r="B3" s="1226" t="s">
        <v>8</v>
      </c>
      <c r="C3" s="1226"/>
      <c r="D3" s="1226"/>
      <c r="E3" s="1226"/>
      <c r="F3" s="1226"/>
      <c r="G3" s="1226"/>
      <c r="H3" s="1226"/>
      <c r="I3" s="1226"/>
      <c r="J3" s="1226"/>
      <c r="K3" s="1226"/>
      <c r="L3" s="1226"/>
      <c r="M3" s="1226"/>
      <c r="O3" s="1137"/>
    </row>
    <row r="4" spans="2:15" s="768" customFormat="1" ht="15.6">
      <c r="B4" s="872"/>
      <c r="C4" s="872"/>
      <c r="D4" s="872"/>
      <c r="E4" s="872"/>
      <c r="F4" s="872"/>
      <c r="G4" s="872"/>
      <c r="H4" s="872"/>
      <c r="I4" s="872"/>
      <c r="J4" s="872"/>
      <c r="K4" s="761"/>
      <c r="L4" s="872"/>
      <c r="M4" s="872"/>
      <c r="O4" s="1138"/>
    </row>
    <row r="5" spans="2:15" ht="15.6">
      <c r="B5" s="761" t="s">
        <v>384</v>
      </c>
      <c r="C5" s="762"/>
      <c r="F5" s="761" t="s">
        <v>26</v>
      </c>
      <c r="G5" s="761" t="s">
        <v>380</v>
      </c>
      <c r="I5" s="766"/>
      <c r="J5" s="767"/>
      <c r="K5" s="768"/>
      <c r="L5" s="764"/>
      <c r="M5" s="764"/>
    </row>
    <row r="6" spans="2:15" ht="15.6">
      <c r="B6" s="762" t="s">
        <v>385</v>
      </c>
      <c r="C6" s="762"/>
      <c r="F6" s="761" t="s">
        <v>26</v>
      </c>
      <c r="G6" s="761" t="s">
        <v>377</v>
      </c>
      <c r="I6" s="766"/>
      <c r="J6" s="767"/>
      <c r="K6" s="768"/>
      <c r="L6" s="764"/>
      <c r="M6" s="764"/>
    </row>
    <row r="7" spans="2:15" ht="15.6">
      <c r="B7" s="762" t="s">
        <v>388</v>
      </c>
      <c r="C7" s="762"/>
      <c r="F7" s="761" t="s">
        <v>26</v>
      </c>
      <c r="G7" s="761" t="s">
        <v>375</v>
      </c>
      <c r="I7" s="766"/>
      <c r="J7" s="767"/>
      <c r="K7" s="768"/>
      <c r="L7" s="764"/>
      <c r="M7" s="764"/>
    </row>
    <row r="8" spans="2:15" ht="15.6">
      <c r="B8" s="762" t="s">
        <v>386</v>
      </c>
      <c r="C8" s="762"/>
      <c r="F8" s="761" t="s">
        <v>26</v>
      </c>
      <c r="G8" s="761" t="s">
        <v>376</v>
      </c>
      <c r="I8" s="764"/>
      <c r="J8" s="767"/>
      <c r="K8" s="768"/>
      <c r="L8" s="764"/>
      <c r="M8" s="764"/>
    </row>
    <row r="9" spans="2:15" ht="15.6">
      <c r="B9" s="762" t="s">
        <v>387</v>
      </c>
      <c r="C9" s="762"/>
      <c r="F9" s="761" t="s">
        <v>26</v>
      </c>
      <c r="G9" s="761" t="s">
        <v>348</v>
      </c>
      <c r="I9" s="764"/>
      <c r="J9" s="767"/>
      <c r="K9" s="768"/>
      <c r="L9" s="764"/>
      <c r="M9" s="764"/>
    </row>
    <row r="10" spans="2:15" ht="15.6" thickBot="1"/>
    <row r="11" spans="2:15" s="873" customFormat="1" ht="31.8" thickTop="1">
      <c r="B11" s="773" t="s">
        <v>0</v>
      </c>
      <c r="C11" s="1227" t="s">
        <v>24</v>
      </c>
      <c r="D11" s="1228"/>
      <c r="E11" s="1228"/>
      <c r="F11" s="1228"/>
      <c r="G11" s="1229"/>
      <c r="H11" s="774" t="s">
        <v>1</v>
      </c>
      <c r="I11" s="774" t="s">
        <v>40</v>
      </c>
      <c r="J11" s="774" t="s">
        <v>4</v>
      </c>
      <c r="K11" s="775"/>
      <c r="L11" s="776" t="s">
        <v>47</v>
      </c>
      <c r="M11" s="777" t="s">
        <v>344</v>
      </c>
      <c r="O11" s="1140"/>
    </row>
    <row r="12" spans="2:15" ht="16.2" thickBot="1">
      <c r="B12" s="778" t="s">
        <v>9</v>
      </c>
      <c r="C12" s="1230" t="s">
        <v>10</v>
      </c>
      <c r="D12" s="1231"/>
      <c r="E12" s="1231"/>
      <c r="F12" s="1231"/>
      <c r="G12" s="1232"/>
      <c r="H12" s="779" t="s">
        <v>11</v>
      </c>
      <c r="I12" s="779" t="s">
        <v>12</v>
      </c>
      <c r="J12" s="780" t="s">
        <v>13</v>
      </c>
      <c r="K12" s="781"/>
      <c r="L12" s="782" t="s">
        <v>14</v>
      </c>
      <c r="M12" s="783" t="s">
        <v>15</v>
      </c>
    </row>
    <row r="13" spans="2:15" ht="15.6" thickTop="1">
      <c r="B13" s="784"/>
      <c r="C13" s="785"/>
      <c r="D13" s="786"/>
      <c r="E13" s="785"/>
      <c r="F13" s="785"/>
      <c r="G13" s="787"/>
      <c r="H13" s="788"/>
      <c r="I13" s="789"/>
      <c r="J13" s="789"/>
      <c r="K13" s="790"/>
      <c r="L13" s="791"/>
      <c r="M13" s="792"/>
    </row>
    <row r="14" spans="2:15" ht="15.6">
      <c r="B14" s="851" t="s">
        <v>146</v>
      </c>
      <c r="C14" s="874" t="s">
        <v>349</v>
      </c>
      <c r="E14" s="875"/>
      <c r="F14" s="795"/>
      <c r="G14" s="796"/>
      <c r="H14" s="797"/>
      <c r="I14" s="798"/>
      <c r="J14" s="798"/>
      <c r="K14" s="876"/>
      <c r="L14" s="877"/>
      <c r="M14" s="878"/>
    </row>
    <row r="15" spans="2:15" ht="17.55" customHeight="1" outlineLevel="1">
      <c r="B15" s="793"/>
      <c r="C15" s="696"/>
      <c r="D15" s="794">
        <v>1</v>
      </c>
      <c r="E15" s="795" t="s">
        <v>803</v>
      </c>
      <c r="F15" s="795"/>
      <c r="G15" s="796"/>
      <c r="H15" s="797"/>
      <c r="I15" s="798"/>
      <c r="J15" s="798"/>
      <c r="K15" s="799"/>
      <c r="L15" s="800"/>
      <c r="M15" s="801"/>
    </row>
    <row r="16" spans="2:15" ht="17.55" customHeight="1" outlineLevel="2">
      <c r="B16" s="793"/>
      <c r="C16" s="802"/>
      <c r="D16" s="794"/>
      <c r="E16" s="803" t="s">
        <v>537</v>
      </c>
      <c r="F16" s="795"/>
      <c r="G16" s="796"/>
      <c r="H16" s="797">
        <v>15</v>
      </c>
      <c r="I16" s="798" t="s">
        <v>23</v>
      </c>
      <c r="J16" s="798" t="s">
        <v>429</v>
      </c>
      <c r="K16" s="804" t="e">
        <f>VLOOKUP(J16,RKPANL!B:D,2,0)</f>
        <v>#N/A</v>
      </c>
      <c r="L16" s="800">
        <v>75000</v>
      </c>
      <c r="M16" s="801">
        <f>L16*H16</f>
        <v>1125000</v>
      </c>
    </row>
    <row r="17" spans="2:14" ht="17.55" customHeight="1" outlineLevel="2">
      <c r="B17" s="793"/>
      <c r="C17" s="802"/>
      <c r="D17" s="794"/>
      <c r="E17" s="803" t="s">
        <v>804</v>
      </c>
      <c r="F17" s="795"/>
      <c r="G17" s="796"/>
      <c r="H17" s="797">
        <v>15</v>
      </c>
      <c r="I17" s="798" t="s">
        <v>23</v>
      </c>
      <c r="J17" s="798" t="s">
        <v>429</v>
      </c>
      <c r="K17" s="804" t="e">
        <f>VLOOKUP(J17,RKPANL!B:D,2,0)</f>
        <v>#N/A</v>
      </c>
      <c r="L17" s="800">
        <v>35000</v>
      </c>
      <c r="M17" s="801">
        <f t="shared" ref="M17:M24" si="0">L17*H17</f>
        <v>525000</v>
      </c>
    </row>
    <row r="18" spans="2:14" ht="17.55" customHeight="1" outlineLevel="2">
      <c r="B18" s="793"/>
      <c r="C18" s="802"/>
      <c r="D18" s="794"/>
      <c r="E18" s="803" t="s">
        <v>539</v>
      </c>
      <c r="F18" s="795"/>
      <c r="G18" s="796"/>
      <c r="H18" s="797">
        <v>15</v>
      </c>
      <c r="I18" s="798" t="s">
        <v>23</v>
      </c>
      <c r="J18" s="798" t="s">
        <v>429</v>
      </c>
      <c r="K18" s="804" t="e">
        <f>VLOOKUP(J18,RKPANL!B:D,2,0)</f>
        <v>#N/A</v>
      </c>
      <c r="L18" s="800">
        <v>50000</v>
      </c>
      <c r="M18" s="801">
        <f t="shared" si="0"/>
        <v>750000</v>
      </c>
    </row>
    <row r="19" spans="2:14" ht="17.55" customHeight="1" outlineLevel="2">
      <c r="B19" s="793"/>
      <c r="C19" s="802"/>
      <c r="D19" s="794"/>
      <c r="E19" s="803" t="s">
        <v>540</v>
      </c>
      <c r="F19" s="795"/>
      <c r="G19" s="796"/>
      <c r="H19" s="797">
        <v>100</v>
      </c>
      <c r="I19" s="798" t="s">
        <v>23</v>
      </c>
      <c r="J19" s="798" t="s">
        <v>429</v>
      </c>
      <c r="K19" s="804" t="e">
        <f>VLOOKUP(J19,RKPANL!B:D,2,0)</f>
        <v>#N/A</v>
      </c>
      <c r="L19" s="800">
        <v>2500</v>
      </c>
      <c r="M19" s="801">
        <f t="shared" si="0"/>
        <v>250000</v>
      </c>
    </row>
    <row r="20" spans="2:14" ht="17.55" customHeight="1" outlineLevel="2">
      <c r="B20" s="793"/>
      <c r="C20" s="802"/>
      <c r="D20" s="794"/>
      <c r="E20" s="803" t="s">
        <v>542</v>
      </c>
      <c r="F20" s="795"/>
      <c r="G20" s="796"/>
      <c r="H20" s="797">
        <v>15</v>
      </c>
      <c r="I20" s="798" t="s">
        <v>543</v>
      </c>
      <c r="J20" s="798" t="s">
        <v>429</v>
      </c>
      <c r="K20" s="804" t="e">
        <f>VLOOKUP(J20,RKPANL!B:D,2,0)</f>
        <v>#N/A</v>
      </c>
      <c r="L20" s="800">
        <v>175000</v>
      </c>
      <c r="M20" s="801">
        <f t="shared" si="0"/>
        <v>2625000</v>
      </c>
    </row>
    <row r="21" spans="2:14" ht="17.55" customHeight="1" outlineLevel="2">
      <c r="B21" s="793"/>
      <c r="C21" s="802"/>
      <c r="D21" s="794"/>
      <c r="E21" s="803" t="s">
        <v>544</v>
      </c>
      <c r="F21" s="795"/>
      <c r="G21" s="796"/>
      <c r="H21" s="797">
        <v>15</v>
      </c>
      <c r="I21" s="798" t="s">
        <v>543</v>
      </c>
      <c r="J21" s="798" t="s">
        <v>429</v>
      </c>
      <c r="K21" s="804" t="e">
        <f>VLOOKUP(J21,RKPANL!B:D,2,0)</f>
        <v>#N/A</v>
      </c>
      <c r="L21" s="800">
        <v>700000</v>
      </c>
      <c r="M21" s="801">
        <f t="shared" si="0"/>
        <v>10500000</v>
      </c>
    </row>
    <row r="22" spans="2:14" ht="17.55" customHeight="1" outlineLevel="2">
      <c r="B22" s="793"/>
      <c r="C22" s="802"/>
      <c r="D22" s="794"/>
      <c r="E22" s="803" t="s">
        <v>545</v>
      </c>
      <c r="F22" s="795"/>
      <c r="G22" s="796"/>
      <c r="H22" s="797">
        <v>15</v>
      </c>
      <c r="I22" s="798" t="s">
        <v>23</v>
      </c>
      <c r="J22" s="798" t="s">
        <v>429</v>
      </c>
      <c r="K22" s="804" t="e">
        <f>VLOOKUP(J22,RKPANL!B:D,2,0)</f>
        <v>#N/A</v>
      </c>
      <c r="L22" s="800">
        <v>250000</v>
      </c>
      <c r="M22" s="801">
        <f t="shared" si="0"/>
        <v>3750000</v>
      </c>
    </row>
    <row r="23" spans="2:14" ht="17.55" customHeight="1" outlineLevel="2">
      <c r="B23" s="793"/>
      <c r="C23" s="802"/>
      <c r="D23" s="794"/>
      <c r="E23" s="803" t="s">
        <v>546</v>
      </c>
      <c r="F23" s="795"/>
      <c r="G23" s="796"/>
      <c r="H23" s="797">
        <v>15</v>
      </c>
      <c r="I23" s="798" t="s">
        <v>23</v>
      </c>
      <c r="J23" s="798" t="s">
        <v>429</v>
      </c>
      <c r="K23" s="804" t="e">
        <f>VLOOKUP(J23,RKPANL!B:D,2,0)</f>
        <v>#N/A</v>
      </c>
      <c r="L23" s="800">
        <v>20000</v>
      </c>
      <c r="M23" s="801">
        <f t="shared" si="0"/>
        <v>300000</v>
      </c>
    </row>
    <row r="24" spans="2:14" ht="17.55" customHeight="1" outlineLevel="1">
      <c r="B24" s="793"/>
      <c r="C24" s="802"/>
      <c r="D24" s="794">
        <v>2</v>
      </c>
      <c r="E24" s="795" t="s">
        <v>712</v>
      </c>
      <c r="F24" s="769"/>
      <c r="G24" s="796"/>
      <c r="H24" s="797">
        <v>1</v>
      </c>
      <c r="I24" s="805" t="s">
        <v>20</v>
      </c>
      <c r="J24" s="798" t="s">
        <v>429</v>
      </c>
      <c r="K24" s="804" t="e">
        <f>VLOOKUP(J24,RKPANL!B:D,2,0)</f>
        <v>#N/A</v>
      </c>
      <c r="L24" s="800">
        <v>5000000</v>
      </c>
      <c r="M24" s="801">
        <f t="shared" si="0"/>
        <v>5000000</v>
      </c>
    </row>
    <row r="25" spans="2:14" outlineLevel="1">
      <c r="B25" s="793"/>
      <c r="C25" s="802"/>
      <c r="D25" s="794"/>
      <c r="E25" s="795"/>
      <c r="F25" s="795"/>
      <c r="G25" s="796"/>
      <c r="H25" s="797"/>
      <c r="I25" s="798"/>
      <c r="J25" s="798"/>
      <c r="K25" s="806"/>
      <c r="L25" s="800"/>
      <c r="M25" s="801"/>
    </row>
    <row r="26" spans="2:14" ht="15.6">
      <c r="B26" s="807"/>
      <c r="C26" s="808"/>
      <c r="D26" s="808"/>
      <c r="E26" s="808"/>
      <c r="F26" s="808"/>
      <c r="G26" s="808"/>
      <c r="H26" s="809"/>
      <c r="I26" s="808"/>
      <c r="J26" s="808"/>
      <c r="K26" s="1224" t="s">
        <v>361</v>
      </c>
      <c r="L26" s="1225"/>
      <c r="M26" s="810">
        <f>SUM(M16:M25)</f>
        <v>24825000</v>
      </c>
      <c r="N26" s="879">
        <f>M26</f>
        <v>24825000</v>
      </c>
    </row>
    <row r="27" spans="2:14" ht="15.6">
      <c r="B27" s="851" t="s">
        <v>153</v>
      </c>
      <c r="C27" s="874" t="s">
        <v>350</v>
      </c>
      <c r="E27" s="875"/>
      <c r="F27" s="795"/>
      <c r="G27" s="796"/>
      <c r="H27" s="797"/>
      <c r="I27" s="798"/>
      <c r="J27" s="798"/>
      <c r="K27" s="876"/>
      <c r="L27" s="877"/>
      <c r="M27" s="878"/>
    </row>
    <row r="28" spans="2:14" ht="15.6" outlineLevel="1">
      <c r="B28" s="880"/>
      <c r="C28" s="881" t="s">
        <v>2</v>
      </c>
      <c r="D28" s="696" t="s">
        <v>351</v>
      </c>
      <c r="E28" s="875"/>
      <c r="F28" s="795"/>
      <c r="G28" s="796"/>
      <c r="H28" s="797"/>
      <c r="I28" s="798"/>
      <c r="J28" s="798"/>
      <c r="K28" s="882"/>
      <c r="L28" s="877"/>
      <c r="M28" s="878"/>
    </row>
    <row r="29" spans="2:14" ht="15.6" outlineLevel="2">
      <c r="B29" s="793"/>
      <c r="C29" s="811"/>
      <c r="D29" s="794">
        <v>1</v>
      </c>
      <c r="E29" s="812" t="s">
        <v>895</v>
      </c>
      <c r="F29" s="812"/>
      <c r="G29" s="813"/>
      <c r="H29" s="797">
        <f>B!R30</f>
        <v>6400</v>
      </c>
      <c r="I29" s="798" t="str">
        <f>B!S30</f>
        <v>M2</v>
      </c>
      <c r="J29" s="798" t="s">
        <v>656</v>
      </c>
      <c r="K29" s="804" t="str">
        <f>VLOOKUP(J29,RKPANL!B:D,2,0)</f>
        <v>Bongkaran Paving Lama</v>
      </c>
      <c r="L29" s="800">
        <v>10000</v>
      </c>
      <c r="M29" s="801">
        <f t="shared" ref="M29:M34" si="1">L29*H29</f>
        <v>64000000</v>
      </c>
    </row>
    <row r="30" spans="2:14" outlineLevel="2">
      <c r="B30" s="814"/>
      <c r="C30" s="815"/>
      <c r="D30" s="816">
        <v>2</v>
      </c>
      <c r="E30" s="795" t="s">
        <v>455</v>
      </c>
      <c r="F30" s="795"/>
      <c r="G30" s="796"/>
      <c r="H30" s="797">
        <f>B!R35</f>
        <v>640</v>
      </c>
      <c r="I30" s="798" t="str">
        <f>B!S35</f>
        <v>M3</v>
      </c>
      <c r="J30" s="798" t="s">
        <v>210</v>
      </c>
      <c r="K30" s="804" t="str">
        <f>VLOOKUP(J30,RKPANL!B:D,2,0)</f>
        <v>Pengurugan 1 m3 dengan Tanah urug</v>
      </c>
      <c r="L30" s="800">
        <f>VLOOKUP(J30,RKPANL!B:D,3,0)</f>
        <v>209587.5</v>
      </c>
      <c r="M30" s="801">
        <f t="shared" si="1"/>
        <v>134136000</v>
      </c>
    </row>
    <row r="31" spans="2:14" ht="15.6" outlineLevel="2">
      <c r="B31" s="793"/>
      <c r="C31" s="811"/>
      <c r="D31" s="794">
        <v>3</v>
      </c>
      <c r="E31" s="812" t="s">
        <v>366</v>
      </c>
      <c r="F31" s="812"/>
      <c r="G31" s="813"/>
      <c r="H31" s="797">
        <f>B!R37</f>
        <v>323.07499999999999</v>
      </c>
      <c r="I31" s="798" t="str">
        <f>B!S37</f>
        <v>M3</v>
      </c>
      <c r="J31" s="798" t="s">
        <v>85</v>
      </c>
      <c r="K31" s="804" t="str">
        <f>VLOOKUP(J31,RKPANL!B:D,2,0)</f>
        <v>Pengurugan 1 m3 dengan pasir urug</v>
      </c>
      <c r="L31" s="800">
        <f>VLOOKUP(J31,RKPANL!B:D,3,0)</f>
        <v>209587.5</v>
      </c>
      <c r="M31" s="801">
        <f t="shared" si="1"/>
        <v>67712481.5625</v>
      </c>
    </row>
    <row r="32" spans="2:14" ht="15.6" outlineLevel="2">
      <c r="B32" s="793"/>
      <c r="C32" s="811"/>
      <c r="D32" s="816">
        <v>4</v>
      </c>
      <c r="E32" s="812" t="s">
        <v>901</v>
      </c>
      <c r="F32" s="812"/>
      <c r="G32" s="813"/>
      <c r="H32" s="797">
        <f>B!R41</f>
        <v>3840</v>
      </c>
      <c r="I32" s="798" t="str">
        <f>B!S41</f>
        <v>M2</v>
      </c>
      <c r="J32" s="798" t="s">
        <v>594</v>
      </c>
      <c r="K32" s="804" t="str">
        <f>VLOOKUP(J32,RKPANL!B:D,2,0)</f>
        <v>Pemasangan 1 m2 Paving Block (Blok Beton) Natural tebal 6cm</v>
      </c>
      <c r="L32" s="800">
        <f>VLOOKUP(J32,RKPANL!B:D,3,0)</f>
        <v>249383.25</v>
      </c>
      <c r="M32" s="801">
        <f t="shared" si="1"/>
        <v>957631680</v>
      </c>
    </row>
    <row r="33" spans="2:14" ht="15.6" outlineLevel="2">
      <c r="B33" s="793"/>
      <c r="C33" s="811"/>
      <c r="D33" s="794">
        <v>5</v>
      </c>
      <c r="E33" s="812" t="s">
        <v>902</v>
      </c>
      <c r="F33" s="812"/>
      <c r="G33" s="813"/>
      <c r="H33" s="797">
        <f>B!R43</f>
        <v>2560</v>
      </c>
      <c r="I33" s="798" t="str">
        <f>B!S43</f>
        <v>M2</v>
      </c>
      <c r="J33" s="798" t="s">
        <v>715</v>
      </c>
      <c r="K33" s="804" t="str">
        <f>VLOOKUP(J33,RKPANL!B:D,2,0)</f>
        <v>Bongkar Pasang 1 m2 Paving Block Lama</v>
      </c>
      <c r="L33" s="800">
        <f>VLOOKUP(J33,RKPANL!B:D,3,0)</f>
        <v>145236.375</v>
      </c>
      <c r="M33" s="801">
        <f t="shared" si="1"/>
        <v>371805120</v>
      </c>
    </row>
    <row r="34" spans="2:14" ht="15.6" outlineLevel="2">
      <c r="B34" s="793"/>
      <c r="C34" s="811"/>
      <c r="D34" s="794">
        <v>6</v>
      </c>
      <c r="E34" s="812" t="s">
        <v>367</v>
      </c>
      <c r="F34" s="812"/>
      <c r="G34" s="813"/>
      <c r="H34" s="797">
        <f>B!R45</f>
        <v>6.15</v>
      </c>
      <c r="I34" s="798" t="str">
        <f>B!S45</f>
        <v>M3</v>
      </c>
      <c r="J34" s="798" t="s">
        <v>333</v>
      </c>
      <c r="K34" s="804" t="str">
        <f>VLOOKUP(J34,RKPANL!B:D,2,0)</f>
        <v>Membuat 1 m3 lantai kerja beton mutu f’c = 7,4 MPa slump (3-6)
cm, w/c = 0,87</v>
      </c>
      <c r="L34" s="800">
        <f>VLOOKUP(J34,RKPANL!B:D,3,0)</f>
        <v>1190340.357142857</v>
      </c>
      <c r="M34" s="801">
        <f t="shared" si="1"/>
        <v>7320593.1964285709</v>
      </c>
    </row>
    <row r="35" spans="2:14" outlineLevel="2">
      <c r="B35" s="793"/>
      <c r="C35" s="802"/>
      <c r="D35" s="794"/>
      <c r="E35" s="795"/>
      <c r="F35" s="795"/>
      <c r="G35" s="796"/>
      <c r="H35" s="797"/>
      <c r="I35" s="798"/>
      <c r="J35" s="798"/>
      <c r="K35" s="806"/>
      <c r="L35" s="800"/>
      <c r="M35" s="801"/>
    </row>
    <row r="36" spans="2:14" ht="15.6" outlineLevel="1">
      <c r="B36" s="807"/>
      <c r="C36" s="808"/>
      <c r="D36" s="808"/>
      <c r="E36" s="808"/>
      <c r="F36" s="808"/>
      <c r="G36" s="808"/>
      <c r="H36" s="809"/>
      <c r="I36" s="808"/>
      <c r="J36" s="808"/>
      <c r="K36" s="809"/>
      <c r="L36" s="883" t="s">
        <v>44</v>
      </c>
      <c r="M36" s="810">
        <f>SUM(M29:M35)</f>
        <v>1602605874.7589285</v>
      </c>
    </row>
    <row r="37" spans="2:14" ht="15.6" outlineLevel="1">
      <c r="B37" s="880"/>
      <c r="C37" s="881" t="s">
        <v>16</v>
      </c>
      <c r="D37" s="696" t="s">
        <v>454</v>
      </c>
      <c r="E37" s="875"/>
      <c r="F37" s="795"/>
      <c r="G37" s="796"/>
      <c r="H37" s="797"/>
      <c r="I37" s="798"/>
      <c r="J37" s="798"/>
      <c r="K37" s="882"/>
      <c r="L37" s="877"/>
      <c r="M37" s="878"/>
    </row>
    <row r="38" spans="2:14" outlineLevel="2">
      <c r="B38" s="814"/>
      <c r="C38" s="815"/>
      <c r="D38" s="794">
        <v>1</v>
      </c>
      <c r="E38" s="795" t="s">
        <v>393</v>
      </c>
      <c r="F38" s="795"/>
      <c r="G38" s="796"/>
      <c r="H38" s="797">
        <f>B!R48</f>
        <v>20.5</v>
      </c>
      <c r="I38" s="798" t="str">
        <f>B!S48</f>
        <v>M3</v>
      </c>
      <c r="J38" s="798" t="s">
        <v>83</v>
      </c>
      <c r="K38" s="804" t="str">
        <f>VLOOKUP(J38,RKPANL!B:D,2,0)</f>
        <v>Penggalian 1 m3  tanah biasa sedalam 1 m</v>
      </c>
      <c r="L38" s="800">
        <f>VLOOKUP(J38,RKPANL!B:D,3,0)</f>
        <v>109968.75</v>
      </c>
      <c r="M38" s="801">
        <f>L38*H38</f>
        <v>2254359.375</v>
      </c>
    </row>
    <row r="39" spans="2:14" ht="15.6" outlineLevel="2">
      <c r="B39" s="814"/>
      <c r="C39" s="815"/>
      <c r="D39" s="816">
        <v>2</v>
      </c>
      <c r="E39" s="812" t="s">
        <v>893</v>
      </c>
      <c r="F39" s="812"/>
      <c r="G39" s="813"/>
      <c r="H39" s="797">
        <f>B!R52</f>
        <v>3.0750000000000002</v>
      </c>
      <c r="I39" s="798" t="str">
        <f>B!S52</f>
        <v>M3</v>
      </c>
      <c r="J39" s="798" t="s">
        <v>333</v>
      </c>
      <c r="K39" s="804" t="str">
        <f>VLOOKUP(J39,RKPANL!B:D,2,0)</f>
        <v>Membuat 1 m3 lantai kerja beton mutu f’c = 7,4 MPa slump (3-6)
cm, w/c = 0,87</v>
      </c>
      <c r="L39" s="800">
        <f>VLOOKUP(J39,RKPANL!B:D,3,0)</f>
        <v>1190340.357142857</v>
      </c>
      <c r="M39" s="801">
        <f>L39*H39</f>
        <v>3660296.5982142854</v>
      </c>
    </row>
    <row r="40" spans="2:14" ht="15.6" outlineLevel="2">
      <c r="B40" s="814"/>
      <c r="C40" s="815"/>
      <c r="D40" s="794">
        <v>3</v>
      </c>
      <c r="E40" s="812" t="s">
        <v>372</v>
      </c>
      <c r="F40" s="812"/>
      <c r="G40" s="813"/>
      <c r="H40" s="797">
        <f>B!R56</f>
        <v>45</v>
      </c>
      <c r="I40" s="798" t="str">
        <f>B!S56</f>
        <v>M2</v>
      </c>
      <c r="J40" s="798" t="s">
        <v>439</v>
      </c>
      <c r="K40" s="804" t="str">
        <f>VLOOKUP(J40,RKPANL!B:D,2,0)</f>
        <v>Membuat 1 m3 beton mutu f’c = 14,5 Mpa (K175)</v>
      </c>
      <c r="L40" s="800">
        <f>VLOOKUP(J40,RKPANL!B:D,3,0)</f>
        <v>1342419.010989011</v>
      </c>
      <c r="M40" s="801">
        <f>L40*H40</f>
        <v>60408855.494505495</v>
      </c>
    </row>
    <row r="41" spans="2:14" ht="15.6" outlineLevel="2">
      <c r="B41" s="814"/>
      <c r="C41" s="815"/>
      <c r="D41" s="816">
        <v>4</v>
      </c>
      <c r="E41" s="812" t="s">
        <v>365</v>
      </c>
      <c r="F41" s="812"/>
      <c r="G41" s="813"/>
      <c r="H41" s="797">
        <f>B!R58</f>
        <v>81.999999999999986</v>
      </c>
      <c r="I41" s="798" t="str">
        <f>B!S58</f>
        <v>M2</v>
      </c>
      <c r="J41" s="798" t="s">
        <v>112</v>
      </c>
      <c r="K41" s="804" t="str">
        <f>VLOOKUP(J41,RKPANL!B:D,2,0)</f>
        <v>Pemasangan 1 m2 plesteran 1SP : 4PP tebal 15 mm</v>
      </c>
      <c r="L41" s="800">
        <f>VLOOKUP(J41,RKPANL!B:D,3,0)</f>
        <v>92152.95</v>
      </c>
      <c r="M41" s="801">
        <f>L41*H41</f>
        <v>7556541.8999999985</v>
      </c>
    </row>
    <row r="42" spans="2:14" ht="15.6" outlineLevel="2">
      <c r="B42" s="793"/>
      <c r="C42" s="802"/>
      <c r="D42" s="794">
        <v>5</v>
      </c>
      <c r="E42" s="795" t="s">
        <v>894</v>
      </c>
      <c r="F42" s="795"/>
      <c r="G42" s="817"/>
      <c r="H42" s="797">
        <f>B!R60</f>
        <v>81.999999999999986</v>
      </c>
      <c r="I42" s="798" t="str">
        <f>B!S60</f>
        <v>M2</v>
      </c>
      <c r="J42" s="798" t="s">
        <v>139</v>
      </c>
      <c r="K42" s="804" t="str">
        <f>VLOOKUP(J42,RKPANL!B:D,2,0)</f>
        <v>Pengecatan 1 m2 tembok baru (1 lapis plamuur, 1 lapis cat dasar, 2
lapis cat penutup)</v>
      </c>
      <c r="L42" s="800">
        <f>VLOOKUP(J42,RKPANL!B:D,3,0)</f>
        <v>55114.9</v>
      </c>
      <c r="M42" s="801">
        <f>L42*H42</f>
        <v>4519421.7999999989</v>
      </c>
    </row>
    <row r="43" spans="2:14" outlineLevel="2">
      <c r="B43" s="814"/>
      <c r="C43" s="815"/>
      <c r="D43" s="794"/>
      <c r="E43" s="795"/>
      <c r="F43" s="795"/>
      <c r="G43" s="796"/>
      <c r="H43" s="797"/>
      <c r="I43" s="798"/>
      <c r="J43" s="798"/>
      <c r="K43" s="806"/>
      <c r="L43" s="800"/>
      <c r="M43" s="801"/>
    </row>
    <row r="44" spans="2:14" ht="15.6" outlineLevel="1">
      <c r="B44" s="807"/>
      <c r="C44" s="818"/>
      <c r="D44" s="808"/>
      <c r="E44" s="808"/>
      <c r="F44" s="808"/>
      <c r="G44" s="808"/>
      <c r="H44" s="809"/>
      <c r="I44" s="808"/>
      <c r="J44" s="808"/>
      <c r="K44" s="809"/>
      <c r="L44" s="883" t="s">
        <v>45</v>
      </c>
      <c r="M44" s="810">
        <f>SUM(M38:M43)</f>
        <v>78399475.167719766</v>
      </c>
    </row>
    <row r="45" spans="2:14" ht="15.6">
      <c r="B45" s="807"/>
      <c r="C45" s="808"/>
      <c r="D45" s="808"/>
      <c r="E45" s="808"/>
      <c r="F45" s="808"/>
      <c r="G45" s="808"/>
      <c r="H45" s="809"/>
      <c r="I45" s="808"/>
      <c r="J45" s="808"/>
      <c r="K45" s="1224" t="s">
        <v>354</v>
      </c>
      <c r="L45" s="1225"/>
      <c r="M45" s="810">
        <f>SUM(M28:M44)/2</f>
        <v>1681005349.9266484</v>
      </c>
      <c r="N45" s="879">
        <f>M45</f>
        <v>1681005349.9266484</v>
      </c>
    </row>
    <row r="46" spans="2:14" ht="15.6">
      <c r="B46" s="851" t="s">
        <v>157</v>
      </c>
      <c r="C46" s="874" t="s">
        <v>703</v>
      </c>
      <c r="E46" s="875"/>
      <c r="F46" s="795"/>
      <c r="G46" s="796"/>
      <c r="H46" s="797"/>
      <c r="I46" s="798"/>
      <c r="J46" s="798"/>
      <c r="K46" s="876"/>
      <c r="L46" s="877"/>
      <c r="M46" s="878"/>
    </row>
    <row r="47" spans="2:14" ht="15.6" outlineLevel="1">
      <c r="B47" s="880"/>
      <c r="C47" s="881" t="s">
        <v>2</v>
      </c>
      <c r="D47" s="696" t="s">
        <v>787</v>
      </c>
      <c r="E47" s="875"/>
      <c r="F47" s="795"/>
      <c r="G47" s="796"/>
      <c r="H47" s="797"/>
      <c r="I47" s="798"/>
      <c r="J47" s="798"/>
      <c r="K47" s="882"/>
      <c r="L47" s="877"/>
      <c r="M47" s="878"/>
    </row>
    <row r="48" spans="2:14" outlineLevel="2">
      <c r="B48" s="814"/>
      <c r="C48" s="815"/>
      <c r="D48" s="794">
        <v>1</v>
      </c>
      <c r="E48" s="795" t="s">
        <v>450</v>
      </c>
      <c r="F48" s="795"/>
      <c r="G48" s="796"/>
      <c r="H48" s="797">
        <f>'C'!R21</f>
        <v>78</v>
      </c>
      <c r="I48" s="798" t="str">
        <f>'C'!S21</f>
        <v>M3</v>
      </c>
      <c r="J48" s="798" t="s">
        <v>83</v>
      </c>
      <c r="K48" s="804" t="str">
        <f>VLOOKUP(J48,RKPANL!B:D,2,0)</f>
        <v>Penggalian 1 m3  tanah biasa sedalam 1 m</v>
      </c>
      <c r="L48" s="800">
        <f>VLOOKUP(J48,RKPANL!B:D,3,0)</f>
        <v>109968.75</v>
      </c>
      <c r="M48" s="801">
        <f t="shared" ref="M48:M52" si="2">L48*H48</f>
        <v>8577562.5</v>
      </c>
    </row>
    <row r="49" spans="2:15" ht="15.6" outlineLevel="2">
      <c r="B49" s="793"/>
      <c r="C49" s="811"/>
      <c r="D49" s="816">
        <v>2</v>
      </c>
      <c r="E49" s="812" t="s">
        <v>366</v>
      </c>
      <c r="F49" s="812"/>
      <c r="G49" s="813"/>
      <c r="H49" s="797">
        <f>'C'!R22</f>
        <v>6</v>
      </c>
      <c r="I49" s="798" t="str">
        <f>'C'!S22</f>
        <v>M3</v>
      </c>
      <c r="J49" s="798" t="s">
        <v>85</v>
      </c>
      <c r="K49" s="804" t="str">
        <f>VLOOKUP(J49,RKPANL!B:D,2,0)</f>
        <v>Pengurugan 1 m3 dengan pasir urug</v>
      </c>
      <c r="L49" s="800">
        <f>VLOOKUP(J49,RKPANL!B:D,3,0)</f>
        <v>209587.5</v>
      </c>
      <c r="M49" s="801">
        <f t="shared" si="2"/>
        <v>1257525</v>
      </c>
    </row>
    <row r="50" spans="2:15" ht="15.6" outlineLevel="2">
      <c r="B50" s="793"/>
      <c r="C50" s="811"/>
      <c r="D50" s="794">
        <v>3</v>
      </c>
      <c r="E50" s="812" t="s">
        <v>893</v>
      </c>
      <c r="F50" s="812"/>
      <c r="G50" s="813"/>
      <c r="H50" s="797">
        <f>'C'!R23</f>
        <v>1.8</v>
      </c>
      <c r="I50" s="798" t="str">
        <f>'C'!S23</f>
        <v>M3</v>
      </c>
      <c r="J50" s="798" t="s">
        <v>333</v>
      </c>
      <c r="K50" s="804" t="str">
        <f>VLOOKUP(J50,RKPANL!B:D,2,0)</f>
        <v>Membuat 1 m3 lantai kerja beton mutu f’c = 7,4 MPa slump (3-6)
cm, w/c = 0,87</v>
      </c>
      <c r="L50" s="800">
        <f>VLOOKUP(J50,RKPANL!B:D,3,0)</f>
        <v>1190340.357142857</v>
      </c>
      <c r="M50" s="801">
        <f t="shared" si="2"/>
        <v>2142612.6428571427</v>
      </c>
    </row>
    <row r="51" spans="2:15" ht="15.6" outlineLevel="2">
      <c r="B51" s="793"/>
      <c r="C51" s="811"/>
      <c r="D51" s="816">
        <v>4</v>
      </c>
      <c r="E51" s="812" t="s">
        <v>903</v>
      </c>
      <c r="F51" s="812"/>
      <c r="G51" s="813"/>
      <c r="H51" s="797">
        <f>'C'!R24</f>
        <v>100</v>
      </c>
      <c r="I51" s="798" t="str">
        <f>'C'!S24</f>
        <v>Bh</v>
      </c>
      <c r="J51" s="798" t="s">
        <v>797</v>
      </c>
      <c r="K51" s="804" t="str">
        <f>VLOOKUP(J51,RKPANL!B:D,2,0)</f>
        <v>Pemasangan U-Ditch 30x50x120cm - K350</v>
      </c>
      <c r="L51" s="800">
        <f>VLOOKUP(J51,RKPANL!B:D,3,0)</f>
        <v>948428</v>
      </c>
      <c r="M51" s="801">
        <f t="shared" si="2"/>
        <v>94842800</v>
      </c>
      <c r="N51" s="884"/>
    </row>
    <row r="52" spans="2:15" ht="15.6" outlineLevel="2">
      <c r="B52" s="793"/>
      <c r="C52" s="811"/>
      <c r="D52" s="794">
        <v>5</v>
      </c>
      <c r="E52" s="812" t="s">
        <v>904</v>
      </c>
      <c r="F52" s="812"/>
      <c r="G52" s="813"/>
      <c r="H52" s="797">
        <f>'C'!R25</f>
        <v>200</v>
      </c>
      <c r="I52" s="798" t="str">
        <f>'C'!S25</f>
        <v>Bh</v>
      </c>
      <c r="J52" s="798" t="s">
        <v>798</v>
      </c>
      <c r="K52" s="804" t="str">
        <f>VLOOKUP(J52,RKPANL!B:D,2,0)</f>
        <v>Pemasangan Penutup U-Ditch 30x60cm - K350</v>
      </c>
      <c r="L52" s="800">
        <f>VLOOKUP(J52,RKPANL!B:D,3,0)</f>
        <v>230805</v>
      </c>
      <c r="M52" s="801">
        <f t="shared" si="2"/>
        <v>46161000</v>
      </c>
      <c r="N52" s="884"/>
    </row>
    <row r="53" spans="2:15" outlineLevel="2">
      <c r="B53" s="793"/>
      <c r="C53" s="802"/>
      <c r="D53" s="794"/>
      <c r="E53" s="795"/>
      <c r="F53" s="795"/>
      <c r="G53" s="796"/>
      <c r="H53" s="797"/>
      <c r="I53" s="798"/>
      <c r="J53" s="798"/>
      <c r="K53" s="806"/>
      <c r="L53" s="800"/>
      <c r="M53" s="801"/>
    </row>
    <row r="54" spans="2:15" s="886" customFormat="1" ht="15.6" outlineLevel="1">
      <c r="B54" s="819"/>
      <c r="C54" s="820"/>
      <c r="D54" s="820"/>
      <c r="E54" s="820"/>
      <c r="F54" s="820"/>
      <c r="G54" s="820"/>
      <c r="H54" s="821"/>
      <c r="I54" s="820"/>
      <c r="J54" s="820"/>
      <c r="K54" s="821"/>
      <c r="L54" s="885" t="s">
        <v>44</v>
      </c>
      <c r="M54" s="822">
        <f>SUM(M48:M53)</f>
        <v>152981500.14285713</v>
      </c>
      <c r="O54" s="1141"/>
    </row>
    <row r="55" spans="2:15" s="886" customFormat="1" ht="15.6" outlineLevel="1">
      <c r="B55" s="887"/>
      <c r="C55" s="888" t="s">
        <v>16</v>
      </c>
      <c r="D55" s="889" t="s">
        <v>788</v>
      </c>
      <c r="E55" s="890"/>
      <c r="F55" s="826"/>
      <c r="G55" s="827"/>
      <c r="H55" s="828"/>
      <c r="I55" s="829"/>
      <c r="J55" s="829"/>
      <c r="K55" s="891"/>
      <c r="L55" s="892"/>
      <c r="M55" s="893"/>
      <c r="O55" s="1141"/>
    </row>
    <row r="56" spans="2:15" s="886" customFormat="1" outlineLevel="2">
      <c r="B56" s="823"/>
      <c r="C56" s="824"/>
      <c r="D56" s="825">
        <v>1</v>
      </c>
      <c r="E56" s="826" t="s">
        <v>450</v>
      </c>
      <c r="F56" s="826"/>
      <c r="G56" s="827"/>
      <c r="H56" s="828">
        <f>'C'!R32</f>
        <v>52</v>
      </c>
      <c r="I56" s="829" t="str">
        <f>'C'!S32</f>
        <v>M3</v>
      </c>
      <c r="J56" s="829" t="s">
        <v>83</v>
      </c>
      <c r="K56" s="804" t="str">
        <f>VLOOKUP(J56,RKPANL!B:D,2,0)</f>
        <v>Penggalian 1 m3  tanah biasa sedalam 1 m</v>
      </c>
      <c r="L56" s="800">
        <f>VLOOKUP(J56,RKPANL!B:D,3,0)</f>
        <v>109968.75</v>
      </c>
      <c r="M56" s="830">
        <f t="shared" ref="M56:M60" si="3">L56*H56</f>
        <v>5718375</v>
      </c>
      <c r="O56" s="1141"/>
    </row>
    <row r="57" spans="2:15" s="886" customFormat="1" ht="15.6" outlineLevel="2">
      <c r="B57" s="831"/>
      <c r="C57" s="832"/>
      <c r="D57" s="833">
        <v>2</v>
      </c>
      <c r="E57" s="834" t="s">
        <v>366</v>
      </c>
      <c r="F57" s="834"/>
      <c r="G57" s="835"/>
      <c r="H57" s="828">
        <f>'C'!R33</f>
        <v>4</v>
      </c>
      <c r="I57" s="829" t="str">
        <f>'C'!S33</f>
        <v>M3</v>
      </c>
      <c r="J57" s="829" t="s">
        <v>85</v>
      </c>
      <c r="K57" s="804" t="str">
        <f>VLOOKUP(J57,RKPANL!B:D,2,0)</f>
        <v>Pengurugan 1 m3 dengan pasir urug</v>
      </c>
      <c r="L57" s="800">
        <f>VLOOKUP(J57,RKPANL!B:D,3,0)</f>
        <v>209587.5</v>
      </c>
      <c r="M57" s="830">
        <f t="shared" si="3"/>
        <v>838350</v>
      </c>
      <c r="O57" s="1141"/>
    </row>
    <row r="58" spans="2:15" s="886" customFormat="1" ht="15.6" outlineLevel="2">
      <c r="B58" s="831"/>
      <c r="C58" s="832"/>
      <c r="D58" s="825">
        <v>3</v>
      </c>
      <c r="E58" s="834" t="s">
        <v>893</v>
      </c>
      <c r="F58" s="834"/>
      <c r="G58" s="835"/>
      <c r="H58" s="828">
        <f>'C'!R34</f>
        <v>1.2000000000000002</v>
      </c>
      <c r="I58" s="829" t="str">
        <f>'C'!S34</f>
        <v>Bh</v>
      </c>
      <c r="J58" s="829" t="s">
        <v>333</v>
      </c>
      <c r="K58" s="804" t="str">
        <f>VLOOKUP(J58,RKPANL!B:D,2,0)</f>
        <v>Membuat 1 m3 lantai kerja beton mutu f’c = 7,4 MPa slump (3-6)
cm, w/c = 0,87</v>
      </c>
      <c r="L58" s="800">
        <f>VLOOKUP(J58,RKPANL!B:D,3,0)</f>
        <v>1190340.357142857</v>
      </c>
      <c r="M58" s="830">
        <f t="shared" si="3"/>
        <v>1428408.4285714286</v>
      </c>
      <c r="O58" s="1141"/>
    </row>
    <row r="59" spans="2:15" s="886" customFormat="1" ht="15.6" outlineLevel="2">
      <c r="B59" s="831"/>
      <c r="C59" s="832"/>
      <c r="D59" s="833">
        <v>4</v>
      </c>
      <c r="E59" s="834" t="s">
        <v>905</v>
      </c>
      <c r="F59" s="834"/>
      <c r="G59" s="835"/>
      <c r="H59" s="828">
        <f>'C'!R35</f>
        <v>67</v>
      </c>
      <c r="I59" s="829" t="str">
        <f>'C'!S35</f>
        <v>Bh</v>
      </c>
      <c r="J59" s="798" t="s">
        <v>800</v>
      </c>
      <c r="K59" s="804" t="str">
        <f>VLOOKUP(J59,RKPANL!B:D,2,0)</f>
        <v>Pemasangan U-Ditch 30x30x120cm - K350</v>
      </c>
      <c r="L59" s="800">
        <f>VLOOKUP(J59,RKPANL!B:D,3,0)</f>
        <v>705136.875</v>
      </c>
      <c r="M59" s="830">
        <f t="shared" si="3"/>
        <v>47244170.625</v>
      </c>
      <c r="N59" s="894"/>
      <c r="O59" s="1141">
        <v>1000000</v>
      </c>
    </row>
    <row r="60" spans="2:15" s="886" customFormat="1" ht="15" customHeight="1" outlineLevel="2">
      <c r="B60" s="831"/>
      <c r="C60" s="832"/>
      <c r="D60" s="825">
        <v>5</v>
      </c>
      <c r="E60" s="834" t="s">
        <v>904</v>
      </c>
      <c r="F60" s="834"/>
      <c r="G60" s="835"/>
      <c r="H60" s="828">
        <f>'C'!R36</f>
        <v>134</v>
      </c>
      <c r="I60" s="829" t="str">
        <f>'C'!S36</f>
        <v>Bh</v>
      </c>
      <c r="J60" s="798" t="s">
        <v>798</v>
      </c>
      <c r="K60" s="804" t="str">
        <f>VLOOKUP(J60,RKPANL!B:D,2,0)</f>
        <v>Pemasangan Penutup U-Ditch 30x60cm - K350</v>
      </c>
      <c r="L60" s="800">
        <f>VLOOKUP(J60,RKPANL!B:D,3,0)</f>
        <v>230805</v>
      </c>
      <c r="M60" s="830">
        <f t="shared" si="3"/>
        <v>30927870</v>
      </c>
      <c r="N60" s="894"/>
      <c r="O60" s="1141">
        <f>0.3*0.5</f>
        <v>0.15</v>
      </c>
    </row>
    <row r="61" spans="2:15" s="886" customFormat="1" outlineLevel="2">
      <c r="B61" s="831"/>
      <c r="C61" s="836"/>
      <c r="D61" s="825"/>
      <c r="E61" s="826"/>
      <c r="F61" s="826"/>
      <c r="G61" s="827"/>
      <c r="H61" s="828"/>
      <c r="I61" s="829"/>
      <c r="J61" s="829"/>
      <c r="K61" s="837"/>
      <c r="L61" s="838"/>
      <c r="M61" s="830"/>
      <c r="O61" s="1141">
        <f>O59*O60</f>
        <v>150000</v>
      </c>
    </row>
    <row r="62" spans="2:15" s="886" customFormat="1" ht="15.6" outlineLevel="1">
      <c r="B62" s="819"/>
      <c r="C62" s="820"/>
      <c r="D62" s="820"/>
      <c r="E62" s="820"/>
      <c r="F62" s="820"/>
      <c r="G62" s="820"/>
      <c r="H62" s="821"/>
      <c r="I62" s="820"/>
      <c r="J62" s="820"/>
      <c r="K62" s="821"/>
      <c r="L62" s="885" t="s">
        <v>45</v>
      </c>
      <c r="M62" s="822">
        <f>SUM(M56:M61)</f>
        <v>86157174.053571433</v>
      </c>
      <c r="O62" s="1141"/>
    </row>
    <row r="63" spans="2:15" s="886" customFormat="1" ht="15.6" outlineLevel="1">
      <c r="B63" s="887"/>
      <c r="C63" s="888" t="s">
        <v>17</v>
      </c>
      <c r="D63" s="889" t="s">
        <v>789</v>
      </c>
      <c r="E63" s="890"/>
      <c r="F63" s="826"/>
      <c r="G63" s="827"/>
      <c r="H63" s="828"/>
      <c r="I63" s="829"/>
      <c r="J63" s="829"/>
      <c r="K63" s="891"/>
      <c r="L63" s="892"/>
      <c r="M63" s="893"/>
      <c r="O63" s="1141"/>
    </row>
    <row r="64" spans="2:15" s="886" customFormat="1" outlineLevel="2">
      <c r="B64" s="823"/>
      <c r="C64" s="824"/>
      <c r="D64" s="825">
        <v>1</v>
      </c>
      <c r="E64" s="826" t="s">
        <v>450</v>
      </c>
      <c r="F64" s="826"/>
      <c r="G64" s="827"/>
      <c r="H64" s="828">
        <f>'C'!R44</f>
        <v>10.799999999999999</v>
      </c>
      <c r="I64" s="829" t="str">
        <f>'C'!S44</f>
        <v>M3</v>
      </c>
      <c r="J64" s="829" t="s">
        <v>83</v>
      </c>
      <c r="K64" s="804" t="str">
        <f>VLOOKUP(J64,RKPANL!B:D,2,0)</f>
        <v>Penggalian 1 m3  tanah biasa sedalam 1 m</v>
      </c>
      <c r="L64" s="838">
        <f>VLOOKUP(J64,RKPANL!B:D,3,0)</f>
        <v>109968.75</v>
      </c>
      <c r="M64" s="830">
        <f t="shared" ref="M64:M65" si="4">L64*H64</f>
        <v>1187662.4999999998</v>
      </c>
      <c r="O64" s="1141"/>
    </row>
    <row r="65" spans="2:15" s="886" customFormat="1" ht="15.6" outlineLevel="2">
      <c r="B65" s="831"/>
      <c r="C65" s="832"/>
      <c r="D65" s="833">
        <v>2</v>
      </c>
      <c r="E65" s="834" t="s">
        <v>366</v>
      </c>
      <c r="F65" s="834"/>
      <c r="G65" s="835"/>
      <c r="H65" s="828">
        <f>'C'!R45</f>
        <v>1.4</v>
      </c>
      <c r="I65" s="829" t="str">
        <f>'C'!S45</f>
        <v>M3</v>
      </c>
      <c r="J65" s="829" t="s">
        <v>85</v>
      </c>
      <c r="K65" s="804" t="str">
        <f>VLOOKUP(J65,RKPANL!B:D,2,0)</f>
        <v>Pengurugan 1 m3 dengan pasir urug</v>
      </c>
      <c r="L65" s="838">
        <f>VLOOKUP(J65,RKPANL!B:D,3,0)</f>
        <v>209587.5</v>
      </c>
      <c r="M65" s="830">
        <f t="shared" si="4"/>
        <v>293422.5</v>
      </c>
      <c r="O65" s="1141"/>
    </row>
    <row r="66" spans="2:15" s="886" customFormat="1" ht="15.6" outlineLevel="2">
      <c r="B66" s="831"/>
      <c r="C66" s="832"/>
      <c r="D66" s="825">
        <v>3</v>
      </c>
      <c r="E66" s="834" t="s">
        <v>906</v>
      </c>
      <c r="F66" s="834"/>
      <c r="G66" s="835"/>
      <c r="H66" s="828">
        <f>'C'!R46</f>
        <v>20</v>
      </c>
      <c r="I66" s="829" t="str">
        <f>'C'!S46</f>
        <v>Bh</v>
      </c>
      <c r="J66" s="829" t="s">
        <v>796</v>
      </c>
      <c r="K66" s="804" t="str">
        <f>VLOOKUP(J66,RKPANL!B:D,2,0)</f>
        <v xml:space="preserve">Pemasangan Buis Beton Dia. 50cm </v>
      </c>
      <c r="L66" s="838">
        <f>VLOOKUP(J66,RKPANL!B:D,3,0)</f>
        <v>350663.75</v>
      </c>
      <c r="M66" s="830">
        <f>L66*H66</f>
        <v>7013275</v>
      </c>
      <c r="N66" s="894"/>
      <c r="O66" s="1141"/>
    </row>
    <row r="67" spans="2:15" s="886" customFormat="1" outlineLevel="2">
      <c r="B67" s="831"/>
      <c r="C67" s="836"/>
      <c r="D67" s="825"/>
      <c r="E67" s="826"/>
      <c r="F67" s="826"/>
      <c r="G67" s="827"/>
      <c r="H67" s="828"/>
      <c r="I67" s="829"/>
      <c r="J67" s="829"/>
      <c r="K67" s="837"/>
      <c r="L67" s="838"/>
      <c r="M67" s="830"/>
      <c r="O67" s="1141"/>
    </row>
    <row r="68" spans="2:15" s="886" customFormat="1" ht="15.6" outlineLevel="1">
      <c r="B68" s="819"/>
      <c r="C68" s="820"/>
      <c r="D68" s="820"/>
      <c r="E68" s="820"/>
      <c r="F68" s="820"/>
      <c r="G68" s="820"/>
      <c r="H68" s="821"/>
      <c r="I68" s="820"/>
      <c r="J68" s="820"/>
      <c r="K68" s="821"/>
      <c r="L68" s="885" t="s">
        <v>46</v>
      </c>
      <c r="M68" s="822">
        <f>SUM(M64:M67)</f>
        <v>8494360</v>
      </c>
      <c r="O68" s="1141"/>
    </row>
    <row r="69" spans="2:15" s="886" customFormat="1" ht="15.6" outlineLevel="1">
      <c r="B69" s="887"/>
      <c r="C69" s="888" t="s">
        <v>18</v>
      </c>
      <c r="D69" s="889" t="s">
        <v>943</v>
      </c>
      <c r="E69" s="890"/>
      <c r="F69" s="826"/>
      <c r="G69" s="827"/>
      <c r="H69" s="828"/>
      <c r="I69" s="829"/>
      <c r="J69" s="829"/>
      <c r="K69" s="891"/>
      <c r="L69" s="892"/>
      <c r="M69" s="893"/>
      <c r="O69" s="1141"/>
    </row>
    <row r="70" spans="2:15" s="886" customFormat="1" outlineLevel="2">
      <c r="B70" s="823"/>
      <c r="C70" s="824"/>
      <c r="D70" s="825">
        <v>1</v>
      </c>
      <c r="E70" s="826" t="s">
        <v>450</v>
      </c>
      <c r="F70" s="826"/>
      <c r="G70" s="827"/>
      <c r="H70" s="828">
        <f>'C'!R53</f>
        <v>31.919999999999995</v>
      </c>
      <c r="I70" s="829" t="str">
        <f>'C'!S53</f>
        <v>M3</v>
      </c>
      <c r="J70" s="829" t="s">
        <v>83</v>
      </c>
      <c r="K70" s="804" t="str">
        <f>VLOOKUP(J70,RKPANL!B:D,2,0)</f>
        <v>Penggalian 1 m3  tanah biasa sedalam 1 m</v>
      </c>
      <c r="L70" s="838">
        <f>VLOOKUP(J70,RKPANL!B:D,3,0)</f>
        <v>109968.75</v>
      </c>
      <c r="M70" s="830">
        <f t="shared" ref="M70:M71" si="5">L70*H70</f>
        <v>3510202.4999999995</v>
      </c>
      <c r="O70" s="1141"/>
    </row>
    <row r="71" spans="2:15" s="886" customFormat="1" ht="15.6" outlineLevel="2">
      <c r="B71" s="831"/>
      <c r="C71" s="832"/>
      <c r="D71" s="833">
        <v>2</v>
      </c>
      <c r="E71" s="834" t="s">
        <v>366</v>
      </c>
      <c r="F71" s="834"/>
      <c r="G71" s="835"/>
      <c r="H71" s="828">
        <f>'C'!R54</f>
        <v>5.32</v>
      </c>
      <c r="I71" s="829" t="str">
        <f>'C'!S54</f>
        <v>M3</v>
      </c>
      <c r="J71" s="829" t="s">
        <v>85</v>
      </c>
      <c r="K71" s="804" t="str">
        <f>VLOOKUP(J71,RKPANL!B:D,2,0)</f>
        <v>Pengurugan 1 m3 dengan pasir urug</v>
      </c>
      <c r="L71" s="838">
        <f>VLOOKUP(J71,RKPANL!B:D,3,0)</f>
        <v>209587.5</v>
      </c>
      <c r="M71" s="830">
        <f t="shared" si="5"/>
        <v>1115005.5</v>
      </c>
      <c r="O71" s="1141"/>
    </row>
    <row r="72" spans="2:15" s="886" customFormat="1" ht="15.6" outlineLevel="2">
      <c r="B72" s="831"/>
      <c r="C72" s="832"/>
      <c r="D72" s="825">
        <v>3</v>
      </c>
      <c r="E72" s="834" t="s">
        <v>944</v>
      </c>
      <c r="F72" s="834"/>
      <c r="G72" s="835"/>
      <c r="H72" s="828">
        <f>'C'!R55</f>
        <v>74</v>
      </c>
      <c r="I72" s="829" t="str">
        <f>'C'!S55</f>
        <v>Bh</v>
      </c>
      <c r="J72" s="829" t="s">
        <v>945</v>
      </c>
      <c r="K72" s="804" t="str">
        <f>VLOOKUP(J72,RKPANL!B:D,2,0)</f>
        <v xml:space="preserve">Pemasangan Buis Beton Dia. 30cm </v>
      </c>
      <c r="L72" s="838">
        <f>VLOOKUP(J72,RKPANL!B:D,3,0)</f>
        <v>224163.75</v>
      </c>
      <c r="M72" s="830">
        <f>L72*H72</f>
        <v>16588117.5</v>
      </c>
      <c r="N72" s="894"/>
      <c r="O72" s="1141"/>
    </row>
    <row r="73" spans="2:15" s="886" customFormat="1" outlineLevel="2">
      <c r="B73" s="831"/>
      <c r="C73" s="836"/>
      <c r="D73" s="825"/>
      <c r="E73" s="826"/>
      <c r="F73" s="826"/>
      <c r="G73" s="827"/>
      <c r="H73" s="828"/>
      <c r="I73" s="829"/>
      <c r="J73" s="829"/>
      <c r="K73" s="837"/>
      <c r="L73" s="838"/>
      <c r="M73" s="830"/>
      <c r="O73" s="1141"/>
    </row>
    <row r="74" spans="2:15" s="886" customFormat="1" ht="15.6" outlineLevel="1">
      <c r="B74" s="819"/>
      <c r="C74" s="820"/>
      <c r="D74" s="820"/>
      <c r="E74" s="820"/>
      <c r="F74" s="820"/>
      <c r="G74" s="820"/>
      <c r="H74" s="821"/>
      <c r="I74" s="820"/>
      <c r="J74" s="820"/>
      <c r="K74" s="821"/>
      <c r="L74" s="885" t="s">
        <v>46</v>
      </c>
      <c r="M74" s="822">
        <f>SUM(M70:M73)</f>
        <v>21213325.5</v>
      </c>
      <c r="O74" s="1141"/>
    </row>
    <row r="75" spans="2:15" ht="15.6" outlineLevel="1">
      <c r="B75" s="880"/>
      <c r="C75" s="881" t="s">
        <v>19</v>
      </c>
      <c r="D75" s="696" t="s">
        <v>451</v>
      </c>
      <c r="E75" s="875"/>
      <c r="F75" s="795"/>
      <c r="G75" s="796"/>
      <c r="H75" s="797"/>
      <c r="I75" s="798"/>
      <c r="J75" s="798"/>
      <c r="K75" s="882"/>
      <c r="L75" s="877"/>
      <c r="M75" s="878"/>
    </row>
    <row r="76" spans="2:15" outlineLevel="2">
      <c r="B76" s="814"/>
      <c r="C76" s="815"/>
      <c r="D76" s="794">
        <v>1</v>
      </c>
      <c r="E76" s="795" t="s">
        <v>450</v>
      </c>
      <c r="F76" s="795"/>
      <c r="G76" s="796"/>
      <c r="H76" s="797">
        <f>'C'!R62</f>
        <v>7.8975000000000009</v>
      </c>
      <c r="I76" s="798" t="str">
        <f>'C'!S62</f>
        <v>M3</v>
      </c>
      <c r="J76" s="798" t="s">
        <v>83</v>
      </c>
      <c r="K76" s="804" t="str">
        <f>VLOOKUP(J76,RKPANL!B:D,2,0)</f>
        <v>Penggalian 1 m3  tanah biasa sedalam 1 m</v>
      </c>
      <c r="L76" s="800">
        <f>VLOOKUP(J76,RKPANL!B:D,3,0)</f>
        <v>109968.75</v>
      </c>
      <c r="M76" s="801">
        <f t="shared" ref="M76:M78" si="6">L76*H76</f>
        <v>868478.20312500012</v>
      </c>
    </row>
    <row r="77" spans="2:15" ht="15.6" outlineLevel="2">
      <c r="B77" s="793"/>
      <c r="C77" s="811"/>
      <c r="D77" s="816">
        <v>2</v>
      </c>
      <c r="E77" s="812" t="s">
        <v>449</v>
      </c>
      <c r="F77" s="812"/>
      <c r="G77" s="813"/>
      <c r="H77" s="797">
        <f>'C'!R66</f>
        <v>15</v>
      </c>
      <c r="I77" s="798" t="str">
        <f>'C'!S66</f>
        <v>Unit</v>
      </c>
      <c r="J77" s="829" t="s">
        <v>805</v>
      </c>
      <c r="K77" s="804" t="str">
        <f>VLOOKUP(J77,RKPANL!B:D,2,0)</f>
        <v>Bak Kontrol Tipe 1</v>
      </c>
      <c r="L77" s="838">
        <f>VLOOKUP(J77,RKPANL!B:D,3,0)</f>
        <v>884602.23019505502</v>
      </c>
      <c r="M77" s="801">
        <f t="shared" si="6"/>
        <v>13269033.452925825</v>
      </c>
    </row>
    <row r="78" spans="2:15" ht="15.6" outlineLevel="2">
      <c r="B78" s="793"/>
      <c r="C78" s="811"/>
      <c r="D78" s="794">
        <v>3</v>
      </c>
      <c r="E78" s="812" t="s">
        <v>918</v>
      </c>
      <c r="F78" s="812"/>
      <c r="G78" s="813"/>
      <c r="H78" s="797">
        <f>'C'!R68</f>
        <v>15</v>
      </c>
      <c r="I78" s="798" t="str">
        <f>'C'!S68</f>
        <v>Bh</v>
      </c>
      <c r="J78" s="829" t="s">
        <v>806</v>
      </c>
      <c r="K78" s="804" t="str">
        <f>VLOOKUP(J78,RKPANL!B:D,2,0)</f>
        <v>Tutup Kontrol Besi</v>
      </c>
      <c r="L78" s="838">
        <f>VLOOKUP(J78,RKPANL!B:D,3,0)</f>
        <v>246790</v>
      </c>
      <c r="M78" s="801">
        <f t="shared" si="6"/>
        <v>3701850</v>
      </c>
    </row>
    <row r="79" spans="2:15" outlineLevel="2">
      <c r="B79" s="793"/>
      <c r="C79" s="802"/>
      <c r="D79" s="794"/>
      <c r="E79" s="795"/>
      <c r="F79" s="795"/>
      <c r="G79" s="796"/>
      <c r="H79" s="797"/>
      <c r="I79" s="798"/>
      <c r="J79" s="798"/>
      <c r="K79" s="806"/>
      <c r="L79" s="800"/>
      <c r="M79" s="801"/>
    </row>
    <row r="80" spans="2:15" ht="15.6" outlineLevel="1">
      <c r="B80" s="807"/>
      <c r="C80" s="808"/>
      <c r="D80" s="808"/>
      <c r="E80" s="808"/>
      <c r="F80" s="808"/>
      <c r="G80" s="808"/>
      <c r="H80" s="809"/>
      <c r="I80" s="808"/>
      <c r="J80" s="808"/>
      <c r="K80" s="809"/>
      <c r="L80" s="883" t="s">
        <v>55</v>
      </c>
      <c r="M80" s="810">
        <f>SUM(M76:M79)</f>
        <v>17839361.656050824</v>
      </c>
    </row>
    <row r="81" spans="2:14" ht="15.6">
      <c r="B81" s="807"/>
      <c r="C81" s="808"/>
      <c r="D81" s="808"/>
      <c r="E81" s="808"/>
      <c r="F81" s="808"/>
      <c r="G81" s="808"/>
      <c r="H81" s="809"/>
      <c r="I81" s="808"/>
      <c r="J81" s="808"/>
      <c r="K81" s="1224" t="s">
        <v>355</v>
      </c>
      <c r="L81" s="1225"/>
      <c r="M81" s="810">
        <f>SUM(M47:M80)/2</f>
        <v>286685721.35247934</v>
      </c>
      <c r="N81" s="879">
        <f>M81</f>
        <v>286685721.35247934</v>
      </c>
    </row>
    <row r="82" spans="2:14" ht="15.6">
      <c r="B82" s="851" t="s">
        <v>160</v>
      </c>
      <c r="C82" s="874" t="s">
        <v>352</v>
      </c>
      <c r="E82" s="875"/>
      <c r="F82" s="795"/>
      <c r="G82" s="796"/>
      <c r="H82" s="797"/>
      <c r="I82" s="798"/>
      <c r="J82" s="798"/>
      <c r="K82" s="876"/>
      <c r="L82" s="877"/>
      <c r="M82" s="878"/>
    </row>
    <row r="83" spans="2:14" ht="15.6" outlineLevel="1">
      <c r="B83" s="880"/>
      <c r="C83" s="881" t="s">
        <v>2</v>
      </c>
      <c r="D83" s="696" t="s">
        <v>896</v>
      </c>
      <c r="E83" s="875"/>
      <c r="F83" s="795"/>
      <c r="G83" s="796"/>
      <c r="H83" s="797"/>
      <c r="I83" s="798"/>
      <c r="J83" s="798"/>
      <c r="K83" s="882"/>
      <c r="L83" s="877"/>
      <c r="M83" s="878"/>
    </row>
    <row r="84" spans="2:14" outlineLevel="2">
      <c r="B84" s="814"/>
      <c r="C84" s="815"/>
      <c r="D84" s="794">
        <v>1</v>
      </c>
      <c r="E84" s="795" t="s">
        <v>374</v>
      </c>
      <c r="F84" s="795"/>
      <c r="G84" s="796"/>
      <c r="H84" s="797">
        <f>D!R19</f>
        <v>1</v>
      </c>
      <c r="I84" s="798" t="str">
        <f>D!S19</f>
        <v>Ls</v>
      </c>
      <c r="J84" s="829" t="s">
        <v>73</v>
      </c>
      <c r="K84" s="804" t="e">
        <f>VLOOKUP(J84,RKPANL!B:D,2,0)</f>
        <v>#N/A</v>
      </c>
      <c r="L84" s="800">
        <v>5000000</v>
      </c>
      <c r="M84" s="801">
        <f>L84*H84</f>
        <v>5000000</v>
      </c>
    </row>
    <row r="85" spans="2:14" outlineLevel="2">
      <c r="B85" s="814"/>
      <c r="C85" s="815"/>
      <c r="D85" s="794">
        <v>2</v>
      </c>
      <c r="E85" s="795" t="s">
        <v>726</v>
      </c>
      <c r="F85" s="795"/>
      <c r="G85" s="796"/>
      <c r="H85" s="797">
        <f>D!R20</f>
        <v>1</v>
      </c>
      <c r="I85" s="798" t="str">
        <f>D!S20</f>
        <v>Ls</v>
      </c>
      <c r="J85" s="829" t="s">
        <v>73</v>
      </c>
      <c r="K85" s="804" t="e">
        <f>VLOOKUP(J85,RKPANL!B:D,2,0)</f>
        <v>#N/A</v>
      </c>
      <c r="L85" s="800">
        <v>5000000</v>
      </c>
      <c r="M85" s="801">
        <f>L85*H85</f>
        <v>5000000</v>
      </c>
    </row>
    <row r="86" spans="2:14" outlineLevel="2">
      <c r="B86" s="814"/>
      <c r="C86" s="815"/>
      <c r="D86" s="794">
        <v>3</v>
      </c>
      <c r="E86" s="795" t="s">
        <v>897</v>
      </c>
      <c r="F86" s="795"/>
      <c r="G86" s="796"/>
      <c r="H86" s="797">
        <f>D!R21</f>
        <v>1</v>
      </c>
      <c r="I86" s="798" t="str">
        <f>D!S21</f>
        <v>Ls</v>
      </c>
      <c r="J86" s="829" t="s">
        <v>73</v>
      </c>
      <c r="K86" s="804" t="e">
        <f>VLOOKUP(J86,RKPANL!B:D,2,0)</f>
        <v>#N/A</v>
      </c>
      <c r="L86" s="800">
        <v>10000000</v>
      </c>
      <c r="M86" s="801">
        <f>L86*H86</f>
        <v>10000000</v>
      </c>
    </row>
    <row r="87" spans="2:14" outlineLevel="2">
      <c r="B87" s="814"/>
      <c r="C87" s="815"/>
      <c r="D87" s="794"/>
      <c r="E87" s="795"/>
      <c r="F87" s="795"/>
      <c r="G87" s="796"/>
      <c r="H87" s="797"/>
      <c r="I87" s="798"/>
      <c r="J87" s="798"/>
      <c r="K87" s="806"/>
      <c r="L87" s="800"/>
      <c r="M87" s="801"/>
    </row>
    <row r="88" spans="2:14" ht="15.6" outlineLevel="1">
      <c r="B88" s="807"/>
      <c r="C88" s="818"/>
      <c r="D88" s="808"/>
      <c r="E88" s="808"/>
      <c r="F88" s="808"/>
      <c r="G88" s="808"/>
      <c r="H88" s="809"/>
      <c r="I88" s="808"/>
      <c r="J88" s="808"/>
      <c r="K88" s="809"/>
      <c r="L88" s="883" t="s">
        <v>44</v>
      </c>
      <c r="M88" s="810">
        <f>SUM(M84:M87)</f>
        <v>20000000</v>
      </c>
    </row>
    <row r="89" spans="2:14" ht="15.6" outlineLevel="1">
      <c r="B89" s="880"/>
      <c r="C89" s="881" t="s">
        <v>16</v>
      </c>
      <c r="D89" s="696" t="s">
        <v>56</v>
      </c>
      <c r="E89" s="875"/>
      <c r="F89" s="795"/>
      <c r="G89" s="796"/>
      <c r="H89" s="797"/>
      <c r="I89" s="798"/>
      <c r="J89" s="798"/>
      <c r="K89" s="882"/>
      <c r="L89" s="877"/>
      <c r="M89" s="878"/>
    </row>
    <row r="90" spans="2:14" ht="15.6" outlineLevel="2">
      <c r="B90" s="793"/>
      <c r="C90" s="811"/>
      <c r="D90" s="816">
        <v>1</v>
      </c>
      <c r="E90" s="812" t="s">
        <v>373</v>
      </c>
      <c r="F90" s="812"/>
      <c r="G90" s="813"/>
      <c r="H90" s="797"/>
      <c r="I90" s="798"/>
      <c r="J90" s="798"/>
      <c r="K90" s="806"/>
      <c r="L90" s="800"/>
      <c r="M90" s="801"/>
    </row>
    <row r="91" spans="2:14" ht="15.6" outlineLevel="2">
      <c r="B91" s="793"/>
      <c r="C91" s="811"/>
      <c r="D91" s="816"/>
      <c r="E91" s="803" t="s">
        <v>243</v>
      </c>
      <c r="F91" s="812"/>
      <c r="G91" s="813"/>
      <c r="H91" s="797">
        <f>D!R36</f>
        <v>5.3759999999999994</v>
      </c>
      <c r="I91" s="798" t="str">
        <f>D!S36</f>
        <v>M3</v>
      </c>
      <c r="J91" s="798" t="s">
        <v>439</v>
      </c>
      <c r="K91" s="804" t="str">
        <f>VLOOKUP(J91,RKPANL!B:D,2,0)</f>
        <v>Membuat 1 m3 beton mutu f’c = 14,5 Mpa (K175)</v>
      </c>
      <c r="L91" s="800">
        <f>VLOOKUP(J91,RKPANL!B:D,3,0)</f>
        <v>1342419.010989011</v>
      </c>
      <c r="M91" s="801">
        <f t="shared" ref="M91:M96" si="7">L91*H91</f>
        <v>7216844.6030769227</v>
      </c>
    </row>
    <row r="92" spans="2:14" ht="15.6" outlineLevel="2">
      <c r="B92" s="793"/>
      <c r="C92" s="811"/>
      <c r="D92" s="816"/>
      <c r="E92" s="803" t="s">
        <v>395</v>
      </c>
      <c r="F92" s="812"/>
      <c r="G92" s="813"/>
      <c r="H92" s="797">
        <f>D!R40</f>
        <v>220.85504000000003</v>
      </c>
      <c r="I92" s="798" t="str">
        <f>D!S40</f>
        <v>Kg</v>
      </c>
      <c r="J92" s="798" t="s">
        <v>105</v>
      </c>
      <c r="K92" s="804" t="str">
        <f>VLOOKUP(J92,RKPANL!B:D,2,0)</f>
        <v xml:space="preserve">Pembesian 1 kg dengan besi polos Pembesian untuk 10 kg dengan besi polos </v>
      </c>
      <c r="L92" s="800">
        <f>VLOOKUP(J92,RKPANL!B:D,3,0)</f>
        <v>19744.349999999999</v>
      </c>
      <c r="M92" s="801">
        <f t="shared" si="7"/>
        <v>4360639.209024</v>
      </c>
    </row>
    <row r="93" spans="2:14" ht="15.6" outlineLevel="2">
      <c r="B93" s="793"/>
      <c r="C93" s="811"/>
      <c r="D93" s="816"/>
      <c r="E93" s="803" t="s">
        <v>396</v>
      </c>
      <c r="F93" s="812"/>
      <c r="G93" s="813"/>
      <c r="H93" s="797">
        <f>D!R45</f>
        <v>220.85504000000006</v>
      </c>
      <c r="I93" s="798" t="str">
        <f>D!S45</f>
        <v>Kg</v>
      </c>
      <c r="J93" s="798" t="s">
        <v>105</v>
      </c>
      <c r="K93" s="804" t="str">
        <f>VLOOKUP(J93,RKPANL!B:D,2,0)</f>
        <v xml:space="preserve">Pembesian 1 kg dengan besi polos Pembesian untuk 10 kg dengan besi polos </v>
      </c>
      <c r="L93" s="800">
        <f>VLOOKUP(J93,RKPANL!B:D,3,0)</f>
        <v>19744.349999999999</v>
      </c>
      <c r="M93" s="801">
        <f t="shared" si="7"/>
        <v>4360639.2090240009</v>
      </c>
    </row>
    <row r="94" spans="2:14" ht="15.6" outlineLevel="2">
      <c r="B94" s="793"/>
      <c r="C94" s="811"/>
      <c r="D94" s="816"/>
      <c r="E94" s="803" t="s">
        <v>244</v>
      </c>
      <c r="F94" s="812"/>
      <c r="G94" s="813"/>
      <c r="H94" s="797">
        <f>D!R51</f>
        <v>89.6</v>
      </c>
      <c r="I94" s="798" t="str">
        <f>D!S51</f>
        <v>M2</v>
      </c>
      <c r="J94" s="798" t="s">
        <v>108</v>
      </c>
      <c r="K94" s="804" t="str">
        <f>VLOOKUP(J94,RKPANL!B:D,2,0)</f>
        <v>Pemasangan 1 m2 bekisting untuk sloof / kolom praktis</v>
      </c>
      <c r="L94" s="800">
        <f>VLOOKUP(J94,RKPANL!B:D,3,0)</f>
        <v>318285.5</v>
      </c>
      <c r="M94" s="801">
        <f t="shared" si="7"/>
        <v>28518380.799999997</v>
      </c>
    </row>
    <row r="95" spans="2:14" ht="15.6" outlineLevel="2">
      <c r="B95" s="793"/>
      <c r="C95" s="811"/>
      <c r="D95" s="816">
        <v>2</v>
      </c>
      <c r="E95" s="812" t="s">
        <v>706</v>
      </c>
      <c r="F95" s="839"/>
      <c r="G95" s="840"/>
      <c r="H95" s="797">
        <f>D!R55</f>
        <v>284.63960000000003</v>
      </c>
      <c r="I95" s="798" t="str">
        <f>D!S55</f>
        <v>M3</v>
      </c>
      <c r="J95" s="798" t="s">
        <v>437</v>
      </c>
      <c r="K95" s="804" t="str">
        <f>VLOOKUP(J95,RKPANL!B:D,2,0)</f>
        <v>Membuat 1 m3 beton mutu f’c = 19,4 Mpa (K225)</v>
      </c>
      <c r="L95" s="800">
        <f>VLOOKUP(J95,RKPANL!B:D,3,0)</f>
        <v>1429920.1098901099</v>
      </c>
      <c r="M95" s="801">
        <f t="shared" si="7"/>
        <v>407011888.11107695</v>
      </c>
    </row>
    <row r="96" spans="2:14" ht="15.6" outlineLevel="2">
      <c r="B96" s="793"/>
      <c r="C96" s="811"/>
      <c r="D96" s="816">
        <v>3</v>
      </c>
      <c r="E96" s="812" t="s">
        <v>684</v>
      </c>
      <c r="F96" s="839"/>
      <c r="G96" s="840"/>
      <c r="H96" s="797">
        <f>D!R58</f>
        <v>4066.28</v>
      </c>
      <c r="I96" s="798" t="str">
        <f>D!S58</f>
        <v>M2</v>
      </c>
      <c r="J96" s="798" t="s">
        <v>872</v>
      </c>
      <c r="K96" s="804" t="str">
        <f>VLOOKUP(J96,RKPANL!B:D,2,0)</f>
        <v>Pemasangan 1 m2 Pembesian dengan jaring kawat baja (wiremesh) M6</v>
      </c>
      <c r="L96" s="800">
        <f>VLOOKUP(J96,RKPANL!B:D,3,0)</f>
        <v>65637.046582892421</v>
      </c>
      <c r="M96" s="801">
        <f t="shared" si="7"/>
        <v>266898609.77908382</v>
      </c>
    </row>
    <row r="97" spans="2:13" outlineLevel="2">
      <c r="B97" s="793"/>
      <c r="C97" s="802"/>
      <c r="D97" s="794"/>
      <c r="E97" s="795"/>
      <c r="F97" s="795"/>
      <c r="G97" s="796"/>
      <c r="H97" s="797"/>
      <c r="I97" s="798"/>
      <c r="J97" s="798"/>
      <c r="K97" s="806"/>
      <c r="L97" s="800"/>
      <c r="M97" s="801"/>
    </row>
    <row r="98" spans="2:13" ht="15.6" outlineLevel="1">
      <c r="B98" s="807"/>
      <c r="C98" s="808"/>
      <c r="D98" s="808"/>
      <c r="E98" s="808"/>
      <c r="F98" s="808"/>
      <c r="G98" s="808"/>
      <c r="H98" s="809"/>
      <c r="I98" s="808"/>
      <c r="J98" s="808"/>
      <c r="K98" s="809"/>
      <c r="L98" s="883" t="s">
        <v>45</v>
      </c>
      <c r="M98" s="810">
        <f>SUM(M90:M97)</f>
        <v>718367001.71128571</v>
      </c>
    </row>
    <row r="99" spans="2:13" ht="15.6" outlineLevel="1">
      <c r="B99" s="880"/>
      <c r="C99" s="881" t="s">
        <v>17</v>
      </c>
      <c r="D99" s="696" t="s">
        <v>57</v>
      </c>
      <c r="E99" s="875"/>
      <c r="F99" s="795"/>
      <c r="G99" s="796"/>
      <c r="H99" s="797"/>
      <c r="I99" s="798"/>
      <c r="J99" s="798"/>
      <c r="K99" s="882"/>
      <c r="L99" s="877"/>
      <c r="M99" s="878"/>
    </row>
    <row r="100" spans="2:13" ht="15.6" outlineLevel="2">
      <c r="B100" s="793"/>
      <c r="C100" s="811"/>
      <c r="D100" s="816">
        <v>1</v>
      </c>
      <c r="E100" s="812" t="s">
        <v>402</v>
      </c>
      <c r="F100" s="812"/>
      <c r="G100" s="813"/>
      <c r="H100" s="797">
        <f>D!R66</f>
        <v>30.5</v>
      </c>
      <c r="I100" s="798" t="str">
        <f>D!S66</f>
        <v>M2</v>
      </c>
      <c r="J100" s="798" t="s">
        <v>112</v>
      </c>
      <c r="K100" s="804" t="str">
        <f>VLOOKUP(J100,RKPANL!B:D,2,0)</f>
        <v>Pemasangan 1 m2 plesteran 1SP : 4PP tebal 15 mm</v>
      </c>
      <c r="L100" s="800">
        <f>VLOOKUP(J100,RKPANL!B:D,3,0)</f>
        <v>92152.95</v>
      </c>
      <c r="M100" s="801">
        <f>L100*H100</f>
        <v>2810664.9750000001</v>
      </c>
    </row>
    <row r="101" spans="2:13" ht="15.6" outlineLevel="2">
      <c r="B101" s="793"/>
      <c r="C101" s="811"/>
      <c r="D101" s="816">
        <v>2</v>
      </c>
      <c r="E101" s="812" t="s">
        <v>403</v>
      </c>
      <c r="F101" s="812"/>
      <c r="G101" s="813"/>
      <c r="H101" s="797">
        <f>D!R68</f>
        <v>30.5</v>
      </c>
      <c r="I101" s="798" t="str">
        <f>D!S68</f>
        <v>M2</v>
      </c>
      <c r="J101" s="798" t="s">
        <v>113</v>
      </c>
      <c r="K101" s="804" t="str">
        <f>VLOOKUP(J101,RKPANL!B:D,2,0)</f>
        <v>Pemasangan 1 m2 acian.</v>
      </c>
      <c r="L101" s="800">
        <f>VLOOKUP(J101,RKPANL!B:D,3,0)</f>
        <v>56896.25</v>
      </c>
      <c r="M101" s="801">
        <f>L101*H101</f>
        <v>1735335.625</v>
      </c>
    </row>
    <row r="102" spans="2:13" outlineLevel="2">
      <c r="B102" s="793"/>
      <c r="C102" s="802"/>
      <c r="D102" s="794"/>
      <c r="E102" s="795"/>
      <c r="F102" s="795"/>
      <c r="G102" s="796"/>
      <c r="H102" s="797"/>
      <c r="I102" s="798"/>
      <c r="J102" s="798"/>
      <c r="K102" s="841"/>
      <c r="L102" s="800"/>
      <c r="M102" s="801"/>
    </row>
    <row r="103" spans="2:13" ht="15.6" outlineLevel="1">
      <c r="B103" s="842"/>
      <c r="C103" s="843"/>
      <c r="D103" s="843"/>
      <c r="E103" s="843"/>
      <c r="F103" s="843"/>
      <c r="G103" s="843"/>
      <c r="H103" s="809"/>
      <c r="I103" s="843"/>
      <c r="J103" s="843"/>
      <c r="K103" s="844"/>
      <c r="L103" s="883" t="s">
        <v>46</v>
      </c>
      <c r="M103" s="810">
        <f>SUM(M100:M102)</f>
        <v>4546000.5999999996</v>
      </c>
    </row>
    <row r="104" spans="2:13" ht="15.6" outlineLevel="1">
      <c r="B104" s="880"/>
      <c r="C104" s="881" t="s">
        <v>18</v>
      </c>
      <c r="D104" s="696" t="s">
        <v>400</v>
      </c>
      <c r="E104" s="875"/>
      <c r="F104" s="795"/>
      <c r="G104" s="796"/>
      <c r="H104" s="797"/>
      <c r="I104" s="798"/>
      <c r="J104" s="798"/>
      <c r="K104" s="895"/>
      <c r="L104" s="877"/>
      <c r="M104" s="878"/>
    </row>
    <row r="105" spans="2:13" ht="15.6" outlineLevel="2">
      <c r="B105" s="793"/>
      <c r="C105" s="811"/>
      <c r="D105" s="816">
        <v>1</v>
      </c>
      <c r="E105" s="812" t="s">
        <v>444</v>
      </c>
      <c r="F105" s="812"/>
      <c r="G105" s="813"/>
      <c r="H105" s="797">
        <f>D!R72</f>
        <v>4066.28</v>
      </c>
      <c r="I105" s="798" t="str">
        <f>D!S72</f>
        <v>M2</v>
      </c>
      <c r="J105" s="798" t="s">
        <v>809</v>
      </c>
      <c r="K105" s="804" t="str">
        <f>VLOOKUP(J105,RKPANL!B:D,2,0)</f>
        <v>Pemasangan 1 m2 Acian /Screed Perbaikan Permukaan Beton</v>
      </c>
      <c r="L105" s="800">
        <f>VLOOKUP(J105,RKPANL!B:D,3,0)</f>
        <v>83317.5</v>
      </c>
      <c r="M105" s="801">
        <f>L105*H105</f>
        <v>338792283.90000004</v>
      </c>
    </row>
    <row r="106" spans="2:13" ht="15.6" outlineLevel="2">
      <c r="B106" s="793"/>
      <c r="C106" s="811"/>
      <c r="D106" s="816">
        <v>2</v>
      </c>
      <c r="E106" s="812" t="s">
        <v>707</v>
      </c>
      <c r="F106" s="812"/>
      <c r="G106" s="813"/>
      <c r="H106" s="797">
        <f>D!R73</f>
        <v>2355</v>
      </c>
      <c r="I106" s="798" t="str">
        <f>D!S73</f>
        <v>M2</v>
      </c>
      <c r="J106" s="798" t="s">
        <v>808</v>
      </c>
      <c r="K106" s="804" t="str">
        <f>VLOOKUP(J106,RKPANL!B:D,2,0)</f>
        <v>Pengecatan 1 m2 permukaan lantai dengan Epoxy 1000 micron</v>
      </c>
      <c r="L106" s="800">
        <f>VLOOKUP(J106,RKPANL!B:D,3,0)</f>
        <v>652015.5</v>
      </c>
      <c r="M106" s="801">
        <f>L106*H106</f>
        <v>1535496502.5</v>
      </c>
    </row>
    <row r="107" spans="2:13" ht="15.6" outlineLevel="2">
      <c r="B107" s="793"/>
      <c r="C107" s="802"/>
      <c r="D107" s="794">
        <v>3</v>
      </c>
      <c r="E107" s="795" t="s">
        <v>925</v>
      </c>
      <c r="F107" s="795"/>
      <c r="G107" s="817"/>
      <c r="H107" s="797">
        <f>D!R79</f>
        <v>236.18000000000004</v>
      </c>
      <c r="I107" s="798" t="str">
        <f>D!S79</f>
        <v>M2</v>
      </c>
      <c r="J107" s="798" t="s">
        <v>807</v>
      </c>
      <c r="K107" s="804" t="str">
        <f>VLOOKUP(J107,RKPANL!B:D,2,0)</f>
        <v>Pengecatan 1 m2 permukaan lantai dengan Epoxy 500 micron</v>
      </c>
      <c r="L107" s="800">
        <f>VLOOKUP(J107,RKPANL!B:D,3,0)</f>
        <v>326007.75</v>
      </c>
      <c r="M107" s="801">
        <f>L107*H107</f>
        <v>76996510.395000011</v>
      </c>
    </row>
    <row r="108" spans="2:13" outlineLevel="2">
      <c r="B108" s="793"/>
      <c r="C108" s="802"/>
      <c r="D108" s="794"/>
      <c r="E108" s="795"/>
      <c r="F108" s="795"/>
      <c r="G108" s="796"/>
      <c r="H108" s="797"/>
      <c r="I108" s="798"/>
      <c r="J108" s="798"/>
      <c r="K108" s="841"/>
      <c r="L108" s="800"/>
      <c r="M108" s="801"/>
    </row>
    <row r="109" spans="2:13" ht="15.6" outlineLevel="1">
      <c r="B109" s="842"/>
      <c r="C109" s="843"/>
      <c r="D109" s="843"/>
      <c r="E109" s="843"/>
      <c r="F109" s="843"/>
      <c r="G109" s="843"/>
      <c r="H109" s="809"/>
      <c r="I109" s="843"/>
      <c r="J109" s="843"/>
      <c r="K109" s="844"/>
      <c r="L109" s="883" t="s">
        <v>46</v>
      </c>
      <c r="M109" s="810">
        <f>SUM(M105:M108)</f>
        <v>1951285296.7950001</v>
      </c>
    </row>
    <row r="110" spans="2:13" ht="15.6" outlineLevel="1">
      <c r="B110" s="880"/>
      <c r="C110" s="881" t="s">
        <v>19</v>
      </c>
      <c r="D110" s="696" t="s">
        <v>353</v>
      </c>
      <c r="E110" s="875"/>
      <c r="F110" s="795"/>
      <c r="G110" s="796"/>
      <c r="H110" s="797"/>
      <c r="I110" s="798"/>
      <c r="J110" s="798"/>
      <c r="K110" s="895"/>
      <c r="L110" s="877"/>
      <c r="M110" s="878"/>
    </row>
    <row r="111" spans="2:13" outlineLevel="2">
      <c r="B111" s="793"/>
      <c r="C111" s="802"/>
      <c r="D111" s="794">
        <v>1</v>
      </c>
      <c r="E111" s="845" t="s">
        <v>401</v>
      </c>
      <c r="F111" s="846"/>
      <c r="G111" s="847"/>
      <c r="H111" s="797">
        <v>50</v>
      </c>
      <c r="I111" s="798" t="str">
        <f>D!S112</f>
        <v>Unit</v>
      </c>
      <c r="J111" s="798" t="s">
        <v>607</v>
      </c>
      <c r="K111" s="804" t="str">
        <f>VLOOKUP(J111,RKPANL!B:D,2,0)</f>
        <v>Pasang 1 Set Armature TKO V  LED 2 x 16 watt</v>
      </c>
      <c r="L111" s="800">
        <f>VLOOKUP(J111,RKPANL!B:D,3,0)</f>
        <v>436913.75</v>
      </c>
      <c r="M111" s="801">
        <f>L111*H111</f>
        <v>21845687.5</v>
      </c>
    </row>
    <row r="112" spans="2:13" outlineLevel="2">
      <c r="B112" s="793"/>
      <c r="C112" s="802"/>
      <c r="D112" s="794"/>
      <c r="E112" s="795"/>
      <c r="F112" s="795"/>
      <c r="G112" s="796"/>
      <c r="H112" s="797"/>
      <c r="I112" s="798"/>
      <c r="J112" s="798"/>
      <c r="K112" s="841"/>
      <c r="L112" s="800"/>
      <c r="M112" s="801"/>
    </row>
    <row r="113" spans="2:14" ht="15.6" outlineLevel="1">
      <c r="B113" s="842"/>
      <c r="C113" s="843"/>
      <c r="D113" s="843"/>
      <c r="E113" s="843"/>
      <c r="F113" s="843"/>
      <c r="G113" s="843"/>
      <c r="H113" s="809"/>
      <c r="I113" s="843"/>
      <c r="J113" s="843"/>
      <c r="K113" s="844"/>
      <c r="L113" s="883" t="s">
        <v>55</v>
      </c>
      <c r="M113" s="810">
        <f>SUM(M111:M112)</f>
        <v>21845687.5</v>
      </c>
    </row>
    <row r="114" spans="2:14" ht="15.6" outlineLevel="1">
      <c r="B114" s="880"/>
      <c r="C114" s="881" t="s">
        <v>404</v>
      </c>
      <c r="D114" s="696" t="s">
        <v>59</v>
      </c>
      <c r="E114" s="875"/>
      <c r="F114" s="795"/>
      <c r="G114" s="796"/>
      <c r="H114" s="797"/>
      <c r="I114" s="798"/>
      <c r="J114" s="798"/>
      <c r="K114" s="895"/>
      <c r="L114" s="877"/>
      <c r="M114" s="878"/>
    </row>
    <row r="115" spans="2:14" ht="15.6" outlineLevel="2">
      <c r="B115" s="793"/>
      <c r="C115" s="802"/>
      <c r="D115" s="794">
        <v>1</v>
      </c>
      <c r="E115" s="795" t="s">
        <v>708</v>
      </c>
      <c r="F115" s="795"/>
      <c r="G115" s="817"/>
      <c r="H115" s="797">
        <f>D!R118</f>
        <v>1677.6000000000001</v>
      </c>
      <c r="I115" s="798" t="str">
        <f>D!S118</f>
        <v>M2</v>
      </c>
      <c r="J115" s="798" t="s">
        <v>611</v>
      </c>
      <c r="K115" s="804" t="str">
        <f>VLOOKUP(J115,RKPANL!B:D,2,0)</f>
        <v>Pengecatan 1 m2 Tembok Lama (1 Lapis Cat Dasar, 2 Lapis Cat 
Penutup) 
lapis cat penutup)</v>
      </c>
      <c r="L115" s="800">
        <f>VLOOKUP(J115,RKPANL!B:D,3,0)</f>
        <v>43204.35</v>
      </c>
      <c r="M115" s="801">
        <f>L115*H115</f>
        <v>72479617.560000002</v>
      </c>
    </row>
    <row r="116" spans="2:14" ht="15.6" outlineLevel="2">
      <c r="B116" s="793"/>
      <c r="C116" s="802"/>
      <c r="D116" s="794">
        <f>D115+1</f>
        <v>2</v>
      </c>
      <c r="E116" s="795" t="s">
        <v>709</v>
      </c>
      <c r="F116" s="795"/>
      <c r="G116" s="817"/>
      <c r="H116" s="797">
        <f>D!R128</f>
        <v>4066.28</v>
      </c>
      <c r="I116" s="798" t="str">
        <f>D!S128</f>
        <v>M2</v>
      </c>
      <c r="J116" s="798" t="s">
        <v>611</v>
      </c>
      <c r="K116" s="804" t="str">
        <f>VLOOKUP(J116,RKPANL!B:D,2,0)</f>
        <v>Pengecatan 1 m2 Tembok Lama (1 Lapis Cat Dasar, 2 Lapis Cat 
Penutup) 
lapis cat penutup)</v>
      </c>
      <c r="L116" s="800">
        <f>VLOOKUP(J116,RKPANL!B:D,3,0)</f>
        <v>43204.35</v>
      </c>
      <c r="M116" s="801">
        <f>L116*H116</f>
        <v>175680984.31799999</v>
      </c>
    </row>
    <row r="117" spans="2:14" ht="15.6" outlineLevel="2">
      <c r="B117" s="793"/>
      <c r="C117" s="802"/>
      <c r="D117" s="794">
        <v>2</v>
      </c>
      <c r="E117" s="795" t="s">
        <v>898</v>
      </c>
      <c r="F117" s="795"/>
      <c r="G117" s="817"/>
      <c r="H117" s="797">
        <f>D!R129</f>
        <v>43.92</v>
      </c>
      <c r="I117" s="798" t="str">
        <f>D!S129</f>
        <v>M2</v>
      </c>
      <c r="J117" s="798" t="s">
        <v>611</v>
      </c>
      <c r="K117" s="804" t="str">
        <f>VLOOKUP(J117,RKPANL!B:D,2,0)</f>
        <v>Pengecatan 1 m2 Tembok Lama (1 Lapis Cat Dasar, 2 Lapis Cat 
Penutup) 
lapis cat penutup)</v>
      </c>
      <c r="L117" s="800">
        <f>VLOOKUP(J117,RKPANL!B:D,3,0)</f>
        <v>43204.35</v>
      </c>
      <c r="M117" s="801">
        <f>L117*H117</f>
        <v>1897535.0519999999</v>
      </c>
    </row>
    <row r="118" spans="2:14" outlineLevel="2">
      <c r="B118" s="793"/>
      <c r="C118" s="802"/>
      <c r="D118" s="794"/>
      <c r="E118" s="795"/>
      <c r="F118" s="795"/>
      <c r="G118" s="796"/>
      <c r="H118" s="797"/>
      <c r="I118" s="798"/>
      <c r="J118" s="798"/>
      <c r="K118" s="806"/>
      <c r="L118" s="800"/>
      <c r="M118" s="801"/>
    </row>
    <row r="119" spans="2:14" ht="15.6" outlineLevel="1">
      <c r="B119" s="842"/>
      <c r="C119" s="843"/>
      <c r="D119" s="843"/>
      <c r="E119" s="843"/>
      <c r="F119" s="843"/>
      <c r="G119" s="843"/>
      <c r="H119" s="809"/>
      <c r="I119" s="843"/>
      <c r="J119" s="843"/>
      <c r="K119" s="809"/>
      <c r="L119" s="883" t="s">
        <v>362</v>
      </c>
      <c r="M119" s="810">
        <f>SUM(M115:M118)</f>
        <v>250058136.92999998</v>
      </c>
    </row>
    <row r="120" spans="2:14" ht="15.6">
      <c r="B120" s="807"/>
      <c r="C120" s="808"/>
      <c r="D120" s="808"/>
      <c r="E120" s="808"/>
      <c r="F120" s="808"/>
      <c r="G120" s="808"/>
      <c r="H120" s="809"/>
      <c r="I120" s="808"/>
      <c r="J120" s="808"/>
      <c r="K120" s="1224" t="s">
        <v>358</v>
      </c>
      <c r="L120" s="1225"/>
      <c r="M120" s="810">
        <f>SUM(M83:M119)/2</f>
        <v>2966102123.5362864</v>
      </c>
      <c r="N120" s="879">
        <f>M120</f>
        <v>2966102123.5362864</v>
      </c>
    </row>
    <row r="121" spans="2:14" ht="15.6">
      <c r="B121" s="851" t="s">
        <v>162</v>
      </c>
      <c r="C121" s="874" t="s">
        <v>356</v>
      </c>
      <c r="E121" s="875"/>
      <c r="F121" s="795"/>
      <c r="G121" s="796"/>
      <c r="H121" s="797"/>
      <c r="I121" s="798"/>
      <c r="J121" s="798"/>
      <c r="K121" s="876"/>
      <c r="L121" s="877"/>
      <c r="M121" s="878"/>
    </row>
    <row r="122" spans="2:14" ht="15.6" outlineLevel="1">
      <c r="B122" s="880"/>
      <c r="C122" s="881" t="s">
        <v>819</v>
      </c>
      <c r="D122" s="696" t="s">
        <v>368</v>
      </c>
      <c r="E122" s="875"/>
      <c r="F122" s="795"/>
      <c r="G122" s="796"/>
      <c r="H122" s="797"/>
      <c r="I122" s="798"/>
      <c r="J122" s="798"/>
      <c r="K122" s="882"/>
      <c r="L122" s="877"/>
      <c r="M122" s="878"/>
    </row>
    <row r="123" spans="2:14" ht="15.6" outlineLevel="2">
      <c r="B123" s="793"/>
      <c r="C123" s="848" t="s">
        <v>2</v>
      </c>
      <c r="D123" s="696" t="s">
        <v>349</v>
      </c>
      <c r="E123" s="849"/>
      <c r="F123" s="795"/>
      <c r="G123" s="796"/>
      <c r="H123" s="797"/>
      <c r="I123" s="798"/>
      <c r="J123" s="798"/>
      <c r="K123" s="804"/>
      <c r="L123" s="800"/>
      <c r="M123" s="801"/>
      <c r="N123" s="884"/>
    </row>
    <row r="124" spans="2:14" ht="15.6" outlineLevel="2">
      <c r="B124" s="793"/>
      <c r="C124" s="848"/>
      <c r="D124" s="794">
        <v>1</v>
      </c>
      <c r="E124" s="795" t="s">
        <v>899</v>
      </c>
      <c r="F124" s="795"/>
      <c r="G124" s="796"/>
      <c r="H124" s="797">
        <f>E!R17</f>
        <v>1</v>
      </c>
      <c r="I124" s="798" t="str">
        <f>E!S17</f>
        <v>Ls</v>
      </c>
      <c r="J124" s="829" t="s">
        <v>73</v>
      </c>
      <c r="K124" s="804" t="e">
        <f>VLOOKUP(J124,RKPANL!B:D,2,0)</f>
        <v>#N/A</v>
      </c>
      <c r="L124" s="800">
        <v>2000000</v>
      </c>
      <c r="M124" s="801">
        <f>L124*H124</f>
        <v>2000000</v>
      </c>
    </row>
    <row r="125" spans="2:14" ht="15.6" outlineLevel="2">
      <c r="B125" s="793"/>
      <c r="C125" s="848"/>
      <c r="D125" s="794">
        <v>2</v>
      </c>
      <c r="E125" s="795" t="s">
        <v>415</v>
      </c>
      <c r="F125" s="795"/>
      <c r="G125" s="796"/>
      <c r="H125" s="797">
        <f>E!R18</f>
        <v>1</v>
      </c>
      <c r="I125" s="798" t="str">
        <f>E!S18</f>
        <v>Ls</v>
      </c>
      <c r="J125" s="829" t="s">
        <v>73</v>
      </c>
      <c r="K125" s="804" t="e">
        <f>VLOOKUP(J125,RKPANL!B:D,2,0)</f>
        <v>#N/A</v>
      </c>
      <c r="L125" s="800">
        <v>1500000</v>
      </c>
      <c r="M125" s="801">
        <f>L125*H125</f>
        <v>1500000</v>
      </c>
    </row>
    <row r="126" spans="2:14" ht="15.6" outlineLevel="2">
      <c r="B126" s="793"/>
      <c r="C126" s="848"/>
      <c r="D126" s="794"/>
      <c r="E126" s="812"/>
      <c r="F126" s="795"/>
      <c r="G126" s="796"/>
      <c r="H126" s="797"/>
      <c r="I126" s="798"/>
      <c r="J126" s="798"/>
      <c r="K126" s="804"/>
      <c r="L126" s="800"/>
      <c r="M126" s="801"/>
    </row>
    <row r="127" spans="2:14" ht="15.6" outlineLevel="2">
      <c r="B127" s="793"/>
      <c r="C127" s="848" t="s">
        <v>16</v>
      </c>
      <c r="D127" s="696" t="s">
        <v>400</v>
      </c>
      <c r="E127" s="849"/>
      <c r="F127" s="795"/>
      <c r="G127" s="796"/>
      <c r="H127" s="797"/>
      <c r="I127" s="798"/>
      <c r="J127" s="798"/>
      <c r="K127" s="804"/>
      <c r="L127" s="800"/>
      <c r="M127" s="801"/>
    </row>
    <row r="128" spans="2:14" ht="15.6" outlineLevel="2">
      <c r="B128" s="793"/>
      <c r="C128" s="848"/>
      <c r="D128" s="794">
        <v>1</v>
      </c>
      <c r="E128" s="795" t="s">
        <v>420</v>
      </c>
      <c r="F128" s="795"/>
      <c r="G128" s="796"/>
      <c r="H128" s="797">
        <v>5</v>
      </c>
      <c r="I128" s="798" t="str">
        <f>E!S21</f>
        <v>M2</v>
      </c>
      <c r="J128" s="798" t="s">
        <v>689</v>
      </c>
      <c r="K128" s="804" t="str">
        <f>VLOOKUP(J128,RKPANL!B:D,2,0)</f>
        <v>Pemasangan 1m2 lantai keramik ukuran 40cm x 40cm</v>
      </c>
      <c r="L128" s="800">
        <f>VLOOKUP(J128,RKPANL!B:D,3,0)</f>
        <v>309005</v>
      </c>
      <c r="M128" s="801">
        <f>L128*H128</f>
        <v>1545025</v>
      </c>
    </row>
    <row r="129" spans="2:14" ht="15.6" outlineLevel="2">
      <c r="B129" s="793"/>
      <c r="C129" s="848"/>
      <c r="D129" s="794">
        <v>2</v>
      </c>
      <c r="E129" s="795" t="s">
        <v>421</v>
      </c>
      <c r="F129" s="795"/>
      <c r="G129" s="796"/>
      <c r="H129" s="797">
        <v>5</v>
      </c>
      <c r="I129" s="798" t="str">
        <f>E!S25</f>
        <v>M2</v>
      </c>
      <c r="J129" s="798" t="s">
        <v>688</v>
      </c>
      <c r="K129" s="804" t="str">
        <f>VLOOKUP(J129,RKPANL!B:D,2,0)</f>
        <v>Pemasangan 1 m2 dinding keramik uk 20 cm x 40 cm</v>
      </c>
      <c r="L129" s="800">
        <f>VLOOKUP(J129,RKPANL!B:D,3,0)</f>
        <v>371622.5</v>
      </c>
      <c r="M129" s="801">
        <f>L129*H129</f>
        <v>1858112.5</v>
      </c>
    </row>
    <row r="130" spans="2:14" ht="15.6" outlineLevel="2">
      <c r="B130" s="793"/>
      <c r="C130" s="848"/>
      <c r="D130" s="794"/>
      <c r="E130" s="795"/>
      <c r="F130" s="795"/>
      <c r="G130" s="796"/>
      <c r="H130" s="797"/>
      <c r="I130" s="798"/>
      <c r="J130" s="798"/>
      <c r="K130" s="804"/>
      <c r="L130" s="800"/>
      <c r="M130" s="801"/>
    </row>
    <row r="131" spans="2:14" ht="15.6" outlineLevel="2">
      <c r="B131" s="793"/>
      <c r="C131" s="848" t="s">
        <v>17</v>
      </c>
      <c r="D131" s="696" t="s">
        <v>353</v>
      </c>
      <c r="E131" s="849"/>
      <c r="F131" s="795"/>
      <c r="G131" s="796"/>
      <c r="H131" s="797"/>
      <c r="I131" s="798"/>
      <c r="J131" s="798"/>
      <c r="K131" s="804"/>
      <c r="L131" s="800"/>
      <c r="M131" s="801"/>
    </row>
    <row r="132" spans="2:14" ht="15.6" outlineLevel="2">
      <c r="B132" s="793"/>
      <c r="C132" s="848"/>
      <c r="D132" s="850">
        <v>1</v>
      </c>
      <c r="E132" s="845" t="s">
        <v>900</v>
      </c>
      <c r="F132" s="795"/>
      <c r="G132" s="796"/>
      <c r="H132" s="797">
        <f>H133</f>
        <v>15</v>
      </c>
      <c r="I132" s="798" t="s">
        <v>879</v>
      </c>
      <c r="J132" s="798" t="s">
        <v>290</v>
      </c>
      <c r="K132" s="804" t="str">
        <f>VLOOKUP(J132,RKPANL!B:D,2,0)</f>
        <v>Pasang 1 Titik Instalasi Penerangan dan Stop Kontak dengan Kabel NYA 2x2,5 mm</v>
      </c>
      <c r="L132" s="800">
        <f>VLOOKUP(J132,RKPANL!B:D,3,0)</f>
        <v>232084.375</v>
      </c>
      <c r="M132" s="801">
        <f>L132*H132</f>
        <v>3481265.625</v>
      </c>
    </row>
    <row r="133" spans="2:14" ht="15.6" outlineLevel="2">
      <c r="B133" s="793"/>
      <c r="C133" s="848"/>
      <c r="D133" s="850">
        <v>2</v>
      </c>
      <c r="E133" s="845" t="s">
        <v>842</v>
      </c>
      <c r="F133" s="795"/>
      <c r="G133" s="796"/>
      <c r="H133" s="797">
        <f>E!R30</f>
        <v>15</v>
      </c>
      <c r="I133" s="798" t="str">
        <f>E!S30</f>
        <v>Unit</v>
      </c>
      <c r="J133" s="798" t="s">
        <v>613</v>
      </c>
      <c r="K133" s="804" t="str">
        <f>VLOOKUP(J133,RKPANL!B:D,2,0)</f>
        <v>Pasang 1 buah Lampu LED 7 watt + Fitting Down Light</v>
      </c>
      <c r="L133" s="800">
        <f>VLOOKUP(J133,RKPANL!B:D,3,0)</f>
        <v>121813.75</v>
      </c>
      <c r="M133" s="801">
        <f>L133*H133</f>
        <v>1827206.25</v>
      </c>
    </row>
    <row r="134" spans="2:14" ht="15.6" outlineLevel="2">
      <c r="B134" s="793"/>
      <c r="C134" s="848"/>
      <c r="D134" s="794"/>
      <c r="E134" s="795"/>
      <c r="F134" s="795"/>
      <c r="G134" s="796"/>
      <c r="H134" s="797"/>
      <c r="I134" s="798"/>
      <c r="J134" s="798"/>
      <c r="K134" s="804"/>
      <c r="L134" s="800"/>
      <c r="M134" s="801"/>
    </row>
    <row r="135" spans="2:14" ht="15.6" outlineLevel="2">
      <c r="B135" s="793"/>
      <c r="C135" s="848" t="s">
        <v>18</v>
      </c>
      <c r="D135" s="696" t="s">
        <v>357</v>
      </c>
      <c r="E135" s="849"/>
      <c r="F135" s="795"/>
      <c r="G135" s="817"/>
      <c r="H135" s="797"/>
      <c r="I135" s="798"/>
      <c r="J135" s="798"/>
      <c r="K135" s="804"/>
      <c r="L135" s="800"/>
      <c r="M135" s="801"/>
    </row>
    <row r="136" spans="2:14" ht="15.6" outlineLevel="2">
      <c r="B136" s="793"/>
      <c r="C136" s="848"/>
      <c r="D136" s="794">
        <v>1</v>
      </c>
      <c r="E136" s="846" t="s">
        <v>417</v>
      </c>
      <c r="F136" s="795"/>
      <c r="G136" s="817"/>
      <c r="H136" s="797">
        <f>E!R33</f>
        <v>25</v>
      </c>
      <c r="I136" s="798" t="str">
        <f>E!S33</f>
        <v>M'</v>
      </c>
      <c r="J136" s="798" t="s">
        <v>284</v>
      </c>
      <c r="K136" s="804" t="str">
        <f>VLOOKUP(J136,RKPANL!B:D,2,0)</f>
        <v>Pemasangan 1 m’ pipa PVC tipe AW diameter ½ ”</v>
      </c>
      <c r="L136" s="800">
        <f>VLOOKUP(J136,RKPANL!B:D,3,0)</f>
        <v>41465.166666666672</v>
      </c>
      <c r="M136" s="801">
        <f>L136*H136</f>
        <v>1036629.1666666667</v>
      </c>
    </row>
    <row r="137" spans="2:14" ht="15.6" outlineLevel="2">
      <c r="B137" s="793"/>
      <c r="C137" s="848"/>
      <c r="D137" s="794">
        <v>2</v>
      </c>
      <c r="E137" s="845" t="s">
        <v>416</v>
      </c>
      <c r="F137" s="795"/>
      <c r="G137" s="817"/>
      <c r="H137" s="797">
        <f>E!R34</f>
        <v>10</v>
      </c>
      <c r="I137" s="798" t="str">
        <f>E!S34</f>
        <v>Unit</v>
      </c>
      <c r="J137" s="798" t="s">
        <v>753</v>
      </c>
      <c r="K137" s="804" t="str">
        <f>VLOOKUP(J137,RKPANL!B:D,2,0)</f>
        <v>Pemasangan 1 buah kran diameter ½” atau ¾ ”</v>
      </c>
      <c r="L137" s="800">
        <f>VLOOKUP(J137,RKPANL!B:D,3,0)</f>
        <v>141881.25</v>
      </c>
      <c r="M137" s="801">
        <f>L137*H137</f>
        <v>1418812.5</v>
      </c>
    </row>
    <row r="138" spans="2:14" ht="15.6" outlineLevel="2">
      <c r="B138" s="793"/>
      <c r="C138" s="848"/>
      <c r="D138" s="794">
        <v>3</v>
      </c>
      <c r="E138" s="846" t="s">
        <v>710</v>
      </c>
      <c r="F138" s="795"/>
      <c r="G138" s="817"/>
      <c r="H138" s="797">
        <f>E!R35</f>
        <v>10</v>
      </c>
      <c r="I138" s="798" t="str">
        <f>E!S35</f>
        <v>Unit</v>
      </c>
      <c r="J138" s="798" t="s">
        <v>750</v>
      </c>
      <c r="K138" s="804" t="str">
        <f>VLOOKUP(J138,RKPANL!B:D,2,0)</f>
        <v>Pemasangan 1 buah floor drain</v>
      </c>
      <c r="L138" s="800">
        <f>VLOOKUP(J138,RKPANL!B:D,3,0)</f>
        <v>161028.75</v>
      </c>
      <c r="M138" s="801">
        <f>L138*H138</f>
        <v>1610287.5</v>
      </c>
    </row>
    <row r="139" spans="2:14" ht="15.6" outlineLevel="2">
      <c r="B139" s="851"/>
      <c r="C139" s="848"/>
      <c r="D139" s="794"/>
      <c r="E139" s="794"/>
      <c r="F139" s="795"/>
      <c r="G139" s="817"/>
      <c r="H139" s="797"/>
      <c r="I139" s="798"/>
      <c r="J139" s="798"/>
      <c r="K139" s="804"/>
      <c r="L139" s="800"/>
      <c r="M139" s="801"/>
    </row>
    <row r="140" spans="2:14" ht="15.6" outlineLevel="2">
      <c r="B140" s="793"/>
      <c r="C140" s="848" t="s">
        <v>19</v>
      </c>
      <c r="D140" s="696" t="s">
        <v>419</v>
      </c>
      <c r="E140" s="849"/>
      <c r="F140" s="795"/>
      <c r="G140" s="817"/>
      <c r="H140" s="797"/>
      <c r="I140" s="798"/>
      <c r="J140" s="798"/>
      <c r="K140" s="804"/>
      <c r="L140" s="800"/>
      <c r="M140" s="801"/>
    </row>
    <row r="141" spans="2:14" ht="15.6" outlineLevel="2">
      <c r="B141" s="793"/>
      <c r="C141" s="848"/>
      <c r="D141" s="794">
        <v>1</v>
      </c>
      <c r="E141" s="846" t="s">
        <v>907</v>
      </c>
      <c r="F141" s="795"/>
      <c r="G141" s="817"/>
      <c r="H141" s="797">
        <f>E!R38</f>
        <v>5</v>
      </c>
      <c r="I141" s="798" t="str">
        <f>E!S38</f>
        <v>Unit</v>
      </c>
      <c r="J141" s="798" t="s">
        <v>253</v>
      </c>
      <c r="K141" s="804" t="str">
        <f>VLOOKUP(J141,RKPANL!B:D,2,0)</f>
        <v>Memasang 1 bh kunci tanam</v>
      </c>
      <c r="L141" s="800">
        <f>VLOOKUP(J141,RKPANL!B:D,3,0)</f>
        <v>305698.75</v>
      </c>
      <c r="M141" s="801">
        <f>L141*H141</f>
        <v>1528493.75</v>
      </c>
      <c r="N141" s="884"/>
    </row>
    <row r="142" spans="2:14" ht="15.6" outlineLevel="2">
      <c r="B142" s="793"/>
      <c r="C142" s="848"/>
      <c r="D142" s="794">
        <v>2</v>
      </c>
      <c r="E142" s="846" t="s">
        <v>908</v>
      </c>
      <c r="F142" s="795"/>
      <c r="G142" s="817"/>
      <c r="H142" s="797">
        <f>E!R39</f>
        <v>10</v>
      </c>
      <c r="I142" s="798" t="str">
        <f>E!S39</f>
        <v>Unit</v>
      </c>
      <c r="J142" s="798" t="s">
        <v>660</v>
      </c>
      <c r="K142" s="804" t="str">
        <f>VLOOKUP(J142,RKPANL!B:D,2,0)</f>
        <v>Memasang 1 bh Pintu Aluminium Uk. 70x200 cm</v>
      </c>
      <c r="L142" s="800">
        <f>VLOOKUP(J142,RKPANL!B:D,3,0)</f>
        <v>1414068.75</v>
      </c>
      <c r="M142" s="801">
        <f>L142*H142</f>
        <v>14140687.5</v>
      </c>
    </row>
    <row r="143" spans="2:14" ht="15.6" outlineLevel="2">
      <c r="B143" s="793"/>
      <c r="C143" s="848"/>
      <c r="D143" s="794"/>
      <c r="E143" s="795"/>
      <c r="F143" s="795"/>
      <c r="G143" s="796"/>
      <c r="H143" s="797"/>
      <c r="I143" s="798"/>
      <c r="J143" s="798"/>
      <c r="K143" s="841"/>
      <c r="L143" s="800"/>
      <c r="M143" s="801"/>
    </row>
    <row r="144" spans="2:14" ht="15.6" outlineLevel="2">
      <c r="B144" s="793"/>
      <c r="C144" s="848" t="s">
        <v>404</v>
      </c>
      <c r="D144" s="696" t="s">
        <v>422</v>
      </c>
      <c r="E144" s="849"/>
      <c r="F144" s="795"/>
      <c r="G144" s="817"/>
      <c r="H144" s="797"/>
      <c r="I144" s="798"/>
      <c r="J144" s="798"/>
      <c r="K144" s="804"/>
      <c r="L144" s="800"/>
      <c r="M144" s="801"/>
    </row>
    <row r="145" spans="2:14" ht="15.6" outlineLevel="2">
      <c r="B145" s="793"/>
      <c r="C145" s="802"/>
      <c r="D145" s="850">
        <v>1</v>
      </c>
      <c r="E145" s="845" t="s">
        <v>919</v>
      </c>
      <c r="F145" s="795"/>
      <c r="G145" s="817"/>
      <c r="H145" s="797">
        <f>E!R42</f>
        <v>74</v>
      </c>
      <c r="I145" s="798" t="str">
        <f>E!S42</f>
        <v>M2</v>
      </c>
      <c r="J145" s="798" t="s">
        <v>611</v>
      </c>
      <c r="K145" s="804" t="str">
        <f>VLOOKUP(J145,RKPANL!B:D,2,0)</f>
        <v>Pengecatan 1 m2 Tembok Lama (1 Lapis Cat Dasar, 2 Lapis Cat 
Penutup) 
lapis cat penutup)</v>
      </c>
      <c r="L145" s="800">
        <f>VLOOKUP(J145,RKPANL!B:D,3,0)</f>
        <v>43204.35</v>
      </c>
      <c r="M145" s="801">
        <f>L145*H145</f>
        <v>3197121.9</v>
      </c>
    </row>
    <row r="146" spans="2:14" outlineLevel="2">
      <c r="B146" s="793"/>
      <c r="C146" s="802"/>
      <c r="D146" s="794"/>
      <c r="E146" s="795"/>
      <c r="F146" s="795"/>
      <c r="G146" s="796"/>
      <c r="H146" s="797"/>
      <c r="I146" s="798"/>
      <c r="J146" s="798"/>
      <c r="K146" s="841"/>
      <c r="L146" s="800"/>
      <c r="M146" s="801"/>
    </row>
    <row r="147" spans="2:14" ht="15.6" outlineLevel="1">
      <c r="B147" s="842"/>
      <c r="C147" s="843"/>
      <c r="D147" s="843"/>
      <c r="E147" s="843"/>
      <c r="F147" s="843"/>
      <c r="G147" s="843"/>
      <c r="H147" s="809"/>
      <c r="I147" s="843"/>
      <c r="J147" s="843"/>
      <c r="K147" s="844"/>
      <c r="L147" s="883" t="s">
        <v>829</v>
      </c>
      <c r="M147" s="810">
        <f>SUM(M124:M145)</f>
        <v>35143641.691666663</v>
      </c>
    </row>
    <row r="148" spans="2:14" ht="15.6" outlineLevel="1">
      <c r="B148" s="880"/>
      <c r="C148" s="881" t="s">
        <v>820</v>
      </c>
      <c r="D148" s="696" t="s">
        <v>369</v>
      </c>
      <c r="E148" s="875"/>
      <c r="F148" s="795"/>
      <c r="G148" s="796"/>
      <c r="H148" s="797"/>
      <c r="I148" s="798"/>
      <c r="J148" s="798"/>
      <c r="K148" s="895"/>
      <c r="L148" s="877"/>
      <c r="M148" s="878"/>
    </row>
    <row r="149" spans="2:14" ht="15.6" outlineLevel="2">
      <c r="B149" s="793"/>
      <c r="C149" s="848" t="s">
        <v>2</v>
      </c>
      <c r="D149" s="696" t="s">
        <v>349</v>
      </c>
      <c r="E149" s="849"/>
      <c r="F149" s="795"/>
      <c r="G149" s="796"/>
      <c r="H149" s="797"/>
      <c r="I149" s="798"/>
      <c r="J149" s="798"/>
      <c r="K149" s="804"/>
      <c r="L149" s="800"/>
      <c r="M149" s="801"/>
      <c r="N149" s="884"/>
    </row>
    <row r="150" spans="2:14" ht="15.6" outlineLevel="2">
      <c r="B150" s="793"/>
      <c r="C150" s="848"/>
      <c r="D150" s="794">
        <v>1</v>
      </c>
      <c r="E150" s="795" t="s">
        <v>899</v>
      </c>
      <c r="F150" s="795"/>
      <c r="G150" s="796"/>
      <c r="H150" s="797">
        <f>E!R49</f>
        <v>1</v>
      </c>
      <c r="I150" s="798" t="str">
        <f>E!S49</f>
        <v>Ls</v>
      </c>
      <c r="J150" s="829" t="s">
        <v>73</v>
      </c>
      <c r="K150" s="804" t="e">
        <f>VLOOKUP(J150,RKPANL!B:D,2,0)</f>
        <v>#N/A</v>
      </c>
      <c r="L150" s="800">
        <v>2000000</v>
      </c>
      <c r="M150" s="801">
        <f>L150*H150</f>
        <v>2000000</v>
      </c>
    </row>
    <row r="151" spans="2:14" ht="15.6" outlineLevel="2">
      <c r="B151" s="793"/>
      <c r="C151" s="848"/>
      <c r="D151" s="794">
        <v>2</v>
      </c>
      <c r="E151" s="795" t="s">
        <v>415</v>
      </c>
      <c r="F151" s="795"/>
      <c r="G151" s="796"/>
      <c r="H151" s="797">
        <f>E!R50</f>
        <v>1</v>
      </c>
      <c r="I151" s="798" t="str">
        <f>E!S50</f>
        <v>Ls</v>
      </c>
      <c r="J151" s="829" t="s">
        <v>73</v>
      </c>
      <c r="K151" s="804" t="e">
        <f>VLOOKUP(J151,RKPANL!B:D,2,0)</f>
        <v>#N/A</v>
      </c>
      <c r="L151" s="800">
        <v>1500000</v>
      </c>
      <c r="M151" s="801">
        <f>L151*H151</f>
        <v>1500000</v>
      </c>
    </row>
    <row r="152" spans="2:14" ht="15.6" outlineLevel="2">
      <c r="B152" s="793"/>
      <c r="C152" s="848"/>
      <c r="D152" s="794"/>
      <c r="E152" s="812"/>
      <c r="F152" s="795"/>
      <c r="G152" s="796"/>
      <c r="H152" s="797"/>
      <c r="I152" s="798"/>
      <c r="J152" s="798"/>
      <c r="K152" s="804"/>
      <c r="L152" s="800"/>
      <c r="M152" s="801"/>
    </row>
    <row r="153" spans="2:14" ht="15.6" outlineLevel="2">
      <c r="B153" s="793"/>
      <c r="C153" s="848" t="s">
        <v>16</v>
      </c>
      <c r="D153" s="696" t="s">
        <v>400</v>
      </c>
      <c r="E153" s="849"/>
      <c r="F153" s="795"/>
      <c r="G153" s="796"/>
      <c r="H153" s="797"/>
      <c r="I153" s="798"/>
      <c r="J153" s="798"/>
      <c r="K153" s="804"/>
      <c r="L153" s="800"/>
      <c r="M153" s="801"/>
    </row>
    <row r="154" spans="2:14" ht="15.6" outlineLevel="2">
      <c r="B154" s="793"/>
      <c r="C154" s="848"/>
      <c r="D154" s="794">
        <v>1</v>
      </c>
      <c r="E154" s="795" t="s">
        <v>420</v>
      </c>
      <c r="F154" s="795"/>
      <c r="G154" s="796"/>
      <c r="H154" s="797">
        <f>E!R53</f>
        <v>9</v>
      </c>
      <c r="I154" s="798" t="str">
        <f>E!S53</f>
        <v>M2</v>
      </c>
      <c r="J154" s="798" t="s">
        <v>689</v>
      </c>
      <c r="K154" s="804" t="str">
        <f>VLOOKUP(J154,RKPANL!B:D,2,0)</f>
        <v>Pemasangan 1m2 lantai keramik ukuran 40cm x 40cm</v>
      </c>
      <c r="L154" s="800">
        <f>VLOOKUP(J154,RKPANL!B:D,3,0)</f>
        <v>309005</v>
      </c>
      <c r="M154" s="801">
        <f>L154*H154</f>
        <v>2781045</v>
      </c>
    </row>
    <row r="155" spans="2:14" ht="15.6" outlineLevel="2">
      <c r="B155" s="793"/>
      <c r="C155" s="848"/>
      <c r="D155" s="794">
        <v>2</v>
      </c>
      <c r="E155" s="795" t="s">
        <v>421</v>
      </c>
      <c r="F155" s="795"/>
      <c r="G155" s="796"/>
      <c r="H155" s="797">
        <f>E!R57</f>
        <v>9</v>
      </c>
      <c r="I155" s="798" t="str">
        <f>E!S57</f>
        <v>M2</v>
      </c>
      <c r="J155" s="798" t="s">
        <v>688</v>
      </c>
      <c r="K155" s="804" t="str">
        <f>VLOOKUP(J155,RKPANL!B:D,2,0)</f>
        <v>Pemasangan 1 m2 dinding keramik uk 20 cm x 40 cm</v>
      </c>
      <c r="L155" s="800">
        <f>VLOOKUP(J155,RKPANL!B:D,3,0)</f>
        <v>371622.5</v>
      </c>
      <c r="M155" s="801">
        <f>L155*H155</f>
        <v>3344602.5</v>
      </c>
    </row>
    <row r="156" spans="2:14" ht="15.6" outlineLevel="2">
      <c r="B156" s="793"/>
      <c r="C156" s="848"/>
      <c r="D156" s="794"/>
      <c r="E156" s="795"/>
      <c r="F156" s="795"/>
      <c r="G156" s="796"/>
      <c r="H156" s="797"/>
      <c r="I156" s="798"/>
      <c r="J156" s="798"/>
      <c r="K156" s="804"/>
      <c r="L156" s="800"/>
      <c r="M156" s="801"/>
    </row>
    <row r="157" spans="2:14" ht="15.6" outlineLevel="2">
      <c r="B157" s="793"/>
      <c r="C157" s="848" t="s">
        <v>17</v>
      </c>
      <c r="D157" s="696" t="s">
        <v>353</v>
      </c>
      <c r="E157" s="849"/>
      <c r="F157" s="795"/>
      <c r="G157" s="796"/>
      <c r="H157" s="797"/>
      <c r="I157" s="798"/>
      <c r="J157" s="798"/>
      <c r="K157" s="804"/>
      <c r="L157" s="800"/>
      <c r="M157" s="801"/>
    </row>
    <row r="158" spans="2:14" ht="15.6" outlineLevel="2">
      <c r="B158" s="793"/>
      <c r="C158" s="848"/>
      <c r="D158" s="850">
        <v>1</v>
      </c>
      <c r="E158" s="845" t="s">
        <v>900</v>
      </c>
      <c r="F158" s="795"/>
      <c r="G158" s="796"/>
      <c r="H158" s="797">
        <f>H159</f>
        <v>10</v>
      </c>
      <c r="I158" s="798" t="s">
        <v>879</v>
      </c>
      <c r="J158" s="798" t="s">
        <v>290</v>
      </c>
      <c r="K158" s="804" t="str">
        <f>VLOOKUP(J158,RKPANL!B:D,2,0)</f>
        <v>Pasang 1 Titik Instalasi Penerangan dan Stop Kontak dengan Kabel NYA 2x2,5 mm</v>
      </c>
      <c r="L158" s="800">
        <f>VLOOKUP(J158,RKPANL!B:D,3,0)</f>
        <v>232084.375</v>
      </c>
      <c r="M158" s="801">
        <f>L158*H158</f>
        <v>2320843.75</v>
      </c>
    </row>
    <row r="159" spans="2:14" ht="15.6" outlineLevel="2">
      <c r="B159" s="793"/>
      <c r="C159" s="848"/>
      <c r="D159" s="850">
        <v>1</v>
      </c>
      <c r="E159" s="845" t="s">
        <v>842</v>
      </c>
      <c r="F159" s="795"/>
      <c r="G159" s="796"/>
      <c r="H159" s="797">
        <f>E!R62</f>
        <v>10</v>
      </c>
      <c r="I159" s="798" t="str">
        <f>E!S62</f>
        <v>Unit</v>
      </c>
      <c r="J159" s="798" t="s">
        <v>613</v>
      </c>
      <c r="K159" s="804" t="str">
        <f>VLOOKUP(J159,RKPANL!B:D,2,0)</f>
        <v>Pasang 1 buah Lampu LED 7 watt + Fitting Down Light</v>
      </c>
      <c r="L159" s="800">
        <f>VLOOKUP(J159,RKPANL!B:D,3,0)</f>
        <v>121813.75</v>
      </c>
      <c r="M159" s="801">
        <f>L159*H159</f>
        <v>1218137.5</v>
      </c>
    </row>
    <row r="160" spans="2:14" ht="15.6" outlineLevel="2">
      <c r="B160" s="793"/>
      <c r="C160" s="848"/>
      <c r="D160" s="794"/>
      <c r="E160" s="795"/>
      <c r="F160" s="795"/>
      <c r="G160" s="796"/>
      <c r="H160" s="797"/>
      <c r="I160" s="798"/>
      <c r="J160" s="798"/>
      <c r="K160" s="804"/>
      <c r="L160" s="800"/>
      <c r="M160" s="801"/>
    </row>
    <row r="161" spans="2:14" ht="15.6" outlineLevel="2">
      <c r="B161" s="793"/>
      <c r="C161" s="848" t="s">
        <v>18</v>
      </c>
      <c r="D161" s="696" t="s">
        <v>357</v>
      </c>
      <c r="E161" s="849"/>
      <c r="F161" s="795"/>
      <c r="G161" s="817"/>
      <c r="H161" s="797"/>
      <c r="I161" s="798"/>
      <c r="J161" s="798"/>
      <c r="K161" s="804"/>
      <c r="L161" s="800"/>
      <c r="M161" s="801"/>
    </row>
    <row r="162" spans="2:14" ht="15.6" outlineLevel="2">
      <c r="B162" s="793"/>
      <c r="C162" s="848"/>
      <c r="D162" s="794">
        <v>1</v>
      </c>
      <c r="E162" s="846" t="s">
        <v>417</v>
      </c>
      <c r="F162" s="795"/>
      <c r="G162" s="817"/>
      <c r="H162" s="797">
        <f>E!R65</f>
        <v>25</v>
      </c>
      <c r="I162" s="798" t="str">
        <f>E!S65</f>
        <v>M'</v>
      </c>
      <c r="J162" s="798" t="s">
        <v>284</v>
      </c>
      <c r="K162" s="804" t="str">
        <f>VLOOKUP(J162,RKPANL!B:D,2,0)</f>
        <v>Pemasangan 1 m’ pipa PVC tipe AW diameter ½ ”</v>
      </c>
      <c r="L162" s="800">
        <f>VLOOKUP(J162,RKPANL!B:D,3,0)</f>
        <v>41465.166666666672</v>
      </c>
      <c r="M162" s="801">
        <f>L162*H162</f>
        <v>1036629.1666666667</v>
      </c>
    </row>
    <row r="163" spans="2:14" ht="15.6" outlineLevel="2">
      <c r="B163" s="793"/>
      <c r="C163" s="848"/>
      <c r="D163" s="794">
        <v>2</v>
      </c>
      <c r="E163" s="845" t="s">
        <v>416</v>
      </c>
      <c r="F163" s="795"/>
      <c r="G163" s="817"/>
      <c r="H163" s="797">
        <f>E!R66</f>
        <v>6</v>
      </c>
      <c r="I163" s="798" t="str">
        <f>E!S66</f>
        <v>Unit</v>
      </c>
      <c r="J163" s="798" t="s">
        <v>753</v>
      </c>
      <c r="K163" s="804" t="str">
        <f>VLOOKUP(J163,RKPANL!B:D,2,0)</f>
        <v>Pemasangan 1 buah kran diameter ½” atau ¾ ”</v>
      </c>
      <c r="L163" s="800">
        <f>VLOOKUP(J163,RKPANL!B:D,3,0)</f>
        <v>141881.25</v>
      </c>
      <c r="M163" s="801">
        <f>L163*H163</f>
        <v>851287.5</v>
      </c>
    </row>
    <row r="164" spans="2:14" ht="15.6" outlineLevel="2">
      <c r="B164" s="793"/>
      <c r="C164" s="848"/>
      <c r="D164" s="794">
        <v>3</v>
      </c>
      <c r="E164" s="846" t="s">
        <v>418</v>
      </c>
      <c r="F164" s="795"/>
      <c r="G164" s="817"/>
      <c r="H164" s="797">
        <f>E!R67</f>
        <v>6</v>
      </c>
      <c r="I164" s="798" t="str">
        <f>E!S67</f>
        <v>Unit</v>
      </c>
      <c r="J164" s="798" t="s">
        <v>750</v>
      </c>
      <c r="K164" s="804" t="str">
        <f>VLOOKUP(J164,RKPANL!B:D,2,0)</f>
        <v>Pemasangan 1 buah floor drain</v>
      </c>
      <c r="L164" s="800">
        <f>VLOOKUP(J164,RKPANL!B:D,3,0)</f>
        <v>161028.75</v>
      </c>
      <c r="M164" s="801">
        <f>L164*H164</f>
        <v>966172.5</v>
      </c>
    </row>
    <row r="165" spans="2:14" ht="15.6" outlineLevel="2">
      <c r="B165" s="851"/>
      <c r="C165" s="848"/>
      <c r="D165" s="794"/>
      <c r="E165" s="794"/>
      <c r="F165" s="795"/>
      <c r="G165" s="817"/>
      <c r="H165" s="797"/>
      <c r="I165" s="852"/>
      <c r="J165" s="798"/>
      <c r="K165" s="804"/>
      <c r="L165" s="800"/>
      <c r="M165" s="801"/>
    </row>
    <row r="166" spans="2:14" ht="15.6" outlineLevel="2">
      <c r="B166" s="793"/>
      <c r="C166" s="848" t="s">
        <v>19</v>
      </c>
      <c r="D166" s="696" t="s">
        <v>419</v>
      </c>
      <c r="E166" s="849"/>
      <c r="F166" s="795"/>
      <c r="G166" s="817"/>
      <c r="H166" s="797"/>
      <c r="I166" s="798"/>
      <c r="J166" s="798"/>
      <c r="K166" s="804"/>
      <c r="L166" s="800"/>
      <c r="M166" s="801"/>
    </row>
    <row r="167" spans="2:14" ht="15.6" outlineLevel="2">
      <c r="B167" s="793"/>
      <c r="C167" s="848"/>
      <c r="D167" s="794">
        <v>1</v>
      </c>
      <c r="E167" s="846" t="s">
        <v>907</v>
      </c>
      <c r="F167" s="795"/>
      <c r="G167" s="817"/>
      <c r="H167" s="797">
        <f>E!R70</f>
        <v>2</v>
      </c>
      <c r="I167" s="798" t="str">
        <f>E!S70</f>
        <v>Unit</v>
      </c>
      <c r="J167" s="798" t="s">
        <v>253</v>
      </c>
      <c r="K167" s="804" t="str">
        <f>VLOOKUP(J167,RKPANL!B:D,2,0)</f>
        <v>Memasang 1 bh kunci tanam</v>
      </c>
      <c r="L167" s="800">
        <f>VLOOKUP(J167,RKPANL!B:D,3,0)</f>
        <v>305698.75</v>
      </c>
      <c r="M167" s="801">
        <f>L167*H167</f>
        <v>611397.5</v>
      </c>
    </row>
    <row r="168" spans="2:14" ht="15.6" outlineLevel="2">
      <c r="B168" s="793"/>
      <c r="C168" s="848"/>
      <c r="D168" s="794">
        <v>2</v>
      </c>
      <c r="E168" s="846" t="s">
        <v>908</v>
      </c>
      <c r="F168" s="795"/>
      <c r="G168" s="817"/>
      <c r="H168" s="797">
        <f>E!R71</f>
        <v>6</v>
      </c>
      <c r="I168" s="798" t="str">
        <f>E!S71</f>
        <v>Unit</v>
      </c>
      <c r="J168" s="798" t="s">
        <v>660</v>
      </c>
      <c r="K168" s="804" t="str">
        <f>VLOOKUP(J168,RKPANL!B:D,2,0)</f>
        <v>Memasang 1 bh Pintu Aluminium Uk. 70x200 cm</v>
      </c>
      <c r="L168" s="800">
        <f>VLOOKUP(J168,RKPANL!B:D,3,0)</f>
        <v>1414068.75</v>
      </c>
      <c r="M168" s="801">
        <f>L168*H168</f>
        <v>8484412.5</v>
      </c>
    </row>
    <row r="169" spans="2:14" ht="15.6" outlineLevel="2">
      <c r="B169" s="793"/>
      <c r="C169" s="848"/>
      <c r="D169" s="794"/>
      <c r="E169" s="795"/>
      <c r="F169" s="795"/>
      <c r="G169" s="796"/>
      <c r="H169" s="797"/>
      <c r="I169" s="798"/>
      <c r="J169" s="798"/>
      <c r="K169" s="841"/>
      <c r="L169" s="800"/>
      <c r="M169" s="801"/>
    </row>
    <row r="170" spans="2:14" ht="15.6" outlineLevel="2">
      <c r="B170" s="793"/>
      <c r="C170" s="848" t="s">
        <v>404</v>
      </c>
      <c r="D170" s="696" t="s">
        <v>422</v>
      </c>
      <c r="E170" s="849"/>
      <c r="F170" s="795"/>
      <c r="G170" s="817"/>
      <c r="H170" s="797"/>
      <c r="I170" s="798"/>
      <c r="J170" s="798"/>
      <c r="K170" s="804"/>
      <c r="L170" s="800"/>
      <c r="M170" s="801"/>
    </row>
    <row r="171" spans="2:14" ht="15.6" outlineLevel="2">
      <c r="B171" s="793"/>
      <c r="C171" s="802"/>
      <c r="D171" s="850">
        <v>1</v>
      </c>
      <c r="E171" s="845" t="s">
        <v>919</v>
      </c>
      <c r="F171" s="795"/>
      <c r="G171" s="817"/>
      <c r="H171" s="797">
        <f>E!R74</f>
        <v>58.4</v>
      </c>
      <c r="I171" s="798" t="str">
        <f>E!S74</f>
        <v>M2</v>
      </c>
      <c r="J171" s="798" t="s">
        <v>611</v>
      </c>
      <c r="K171" s="804" t="str">
        <f>VLOOKUP(J171,RKPANL!B:D,2,0)</f>
        <v>Pengecatan 1 m2 Tembok Lama (1 Lapis Cat Dasar, 2 Lapis Cat 
Penutup) 
lapis cat penutup)</v>
      </c>
      <c r="L171" s="800">
        <f>VLOOKUP(J171,RKPANL!B:D,3,0)</f>
        <v>43204.35</v>
      </c>
      <c r="M171" s="801">
        <f>L171*H171</f>
        <v>2523134.04</v>
      </c>
    </row>
    <row r="172" spans="2:14" outlineLevel="2">
      <c r="B172" s="793"/>
      <c r="C172" s="802"/>
      <c r="D172" s="794"/>
      <c r="E172" s="795"/>
      <c r="F172" s="795"/>
      <c r="G172" s="796"/>
      <c r="H172" s="797"/>
      <c r="I172" s="798"/>
      <c r="J172" s="798"/>
      <c r="K172" s="841"/>
      <c r="L172" s="800"/>
      <c r="M172" s="801"/>
    </row>
    <row r="173" spans="2:14" ht="15.6" outlineLevel="1">
      <c r="B173" s="842"/>
      <c r="C173" s="843"/>
      <c r="D173" s="853"/>
      <c r="E173" s="843"/>
      <c r="F173" s="843"/>
      <c r="G173" s="843"/>
      <c r="H173" s="809"/>
      <c r="I173" s="843"/>
      <c r="J173" s="843"/>
      <c r="K173" s="844"/>
      <c r="L173" s="883" t="s">
        <v>830</v>
      </c>
      <c r="M173" s="810">
        <f>SUM(M150:M172)</f>
        <v>27637661.956666663</v>
      </c>
    </row>
    <row r="174" spans="2:14" ht="15.6" outlineLevel="1">
      <c r="B174" s="880"/>
      <c r="C174" s="881" t="s">
        <v>821</v>
      </c>
      <c r="D174" s="696" t="s">
        <v>370</v>
      </c>
      <c r="E174" s="875"/>
      <c r="F174" s="795"/>
      <c r="G174" s="796"/>
      <c r="H174" s="797"/>
      <c r="I174" s="798"/>
      <c r="J174" s="798"/>
      <c r="K174" s="895"/>
      <c r="L174" s="877"/>
      <c r="M174" s="878"/>
    </row>
    <row r="175" spans="2:14" ht="15.6" outlineLevel="2">
      <c r="B175" s="793"/>
      <c r="C175" s="848" t="s">
        <v>2</v>
      </c>
      <c r="D175" s="696" t="s">
        <v>349</v>
      </c>
      <c r="E175" s="849"/>
      <c r="F175" s="795"/>
      <c r="G175" s="796"/>
      <c r="H175" s="797"/>
      <c r="I175" s="798"/>
      <c r="J175" s="798"/>
      <c r="K175" s="804"/>
      <c r="L175" s="800"/>
      <c r="M175" s="801"/>
      <c r="N175" s="884"/>
    </row>
    <row r="176" spans="2:14" ht="15.6" outlineLevel="2">
      <c r="B176" s="793"/>
      <c r="C176" s="848"/>
      <c r="D176" s="794">
        <v>1</v>
      </c>
      <c r="E176" s="795" t="s">
        <v>899</v>
      </c>
      <c r="F176" s="795"/>
      <c r="G176" s="796"/>
      <c r="H176" s="797">
        <f>E!R81</f>
        <v>1</v>
      </c>
      <c r="I176" s="798" t="str">
        <f>E!S81</f>
        <v>Ls</v>
      </c>
      <c r="J176" s="829" t="s">
        <v>73</v>
      </c>
      <c r="K176" s="804" t="e">
        <f>VLOOKUP(J176,RKPANL!B:D,2,0)</f>
        <v>#N/A</v>
      </c>
      <c r="L176" s="800">
        <v>2000000</v>
      </c>
      <c r="M176" s="801">
        <f t="shared" ref="M176:M202" si="8">L176*H176</f>
        <v>2000000</v>
      </c>
    </row>
    <row r="177" spans="2:13" ht="15.6" outlineLevel="2">
      <c r="B177" s="793"/>
      <c r="C177" s="848"/>
      <c r="D177" s="794">
        <v>2</v>
      </c>
      <c r="E177" s="795" t="s">
        <v>415</v>
      </c>
      <c r="F177" s="795"/>
      <c r="G177" s="796"/>
      <c r="H177" s="797">
        <f>E!R82</f>
        <v>1</v>
      </c>
      <c r="I177" s="798" t="str">
        <f>E!S82</f>
        <v>Ls</v>
      </c>
      <c r="J177" s="829" t="s">
        <v>73</v>
      </c>
      <c r="K177" s="804" t="e">
        <f>VLOOKUP(J177,RKPANL!B:D,2,0)</f>
        <v>#N/A</v>
      </c>
      <c r="L177" s="800">
        <v>1500000</v>
      </c>
      <c r="M177" s="801">
        <f t="shared" si="8"/>
        <v>1500000</v>
      </c>
    </row>
    <row r="178" spans="2:13" ht="15.6" outlineLevel="2">
      <c r="B178" s="793"/>
      <c r="C178" s="848"/>
      <c r="D178" s="794"/>
      <c r="E178" s="812"/>
      <c r="F178" s="795"/>
      <c r="G178" s="796"/>
      <c r="H178" s="797"/>
      <c r="I178" s="798"/>
      <c r="J178" s="798"/>
      <c r="K178" s="804"/>
      <c r="L178" s="800"/>
      <c r="M178" s="801"/>
    </row>
    <row r="179" spans="2:13" ht="15.6" outlineLevel="2">
      <c r="B179" s="793"/>
      <c r="C179" s="848" t="s">
        <v>16</v>
      </c>
      <c r="D179" s="696" t="s">
        <v>400</v>
      </c>
      <c r="E179" s="849"/>
      <c r="F179" s="795"/>
      <c r="G179" s="796"/>
      <c r="H179" s="797"/>
      <c r="I179" s="798"/>
      <c r="J179" s="798"/>
      <c r="K179" s="804"/>
      <c r="L179" s="800"/>
      <c r="M179" s="801"/>
    </row>
    <row r="180" spans="2:13" ht="15.6" outlineLevel="2">
      <c r="B180" s="793"/>
      <c r="C180" s="848"/>
      <c r="D180" s="794">
        <v>1</v>
      </c>
      <c r="E180" s="795" t="s">
        <v>420</v>
      </c>
      <c r="F180" s="795"/>
      <c r="G180" s="796"/>
      <c r="H180" s="797">
        <f>E!R85</f>
        <v>9</v>
      </c>
      <c r="I180" s="798" t="str">
        <f>E!S85</f>
        <v>M2</v>
      </c>
      <c r="J180" s="798" t="s">
        <v>689</v>
      </c>
      <c r="K180" s="804" t="str">
        <f>VLOOKUP(J180,RKPANL!B:D,2,0)</f>
        <v>Pemasangan 1m2 lantai keramik ukuran 40cm x 40cm</v>
      </c>
      <c r="L180" s="800">
        <f>VLOOKUP(J180,RKPANL!B:D,3,0)</f>
        <v>309005</v>
      </c>
      <c r="M180" s="801">
        <f t="shared" si="8"/>
        <v>2781045</v>
      </c>
    </row>
    <row r="181" spans="2:13" ht="15.6" outlineLevel="2">
      <c r="B181" s="793"/>
      <c r="C181" s="848"/>
      <c r="D181" s="794">
        <v>2</v>
      </c>
      <c r="E181" s="795" t="s">
        <v>421</v>
      </c>
      <c r="F181" s="795"/>
      <c r="G181" s="796"/>
      <c r="H181" s="797">
        <f>E!R89</f>
        <v>9</v>
      </c>
      <c r="I181" s="798" t="str">
        <f>E!S89</f>
        <v>M2</v>
      </c>
      <c r="J181" s="798" t="s">
        <v>688</v>
      </c>
      <c r="K181" s="804" t="str">
        <f>VLOOKUP(J181,RKPANL!B:D,2,0)</f>
        <v>Pemasangan 1 m2 dinding keramik uk 20 cm x 40 cm</v>
      </c>
      <c r="L181" s="800">
        <f>VLOOKUP(J181,RKPANL!B:D,3,0)</f>
        <v>371622.5</v>
      </c>
      <c r="M181" s="801">
        <f t="shared" si="8"/>
        <v>3344602.5</v>
      </c>
    </row>
    <row r="182" spans="2:13" ht="15.6" outlineLevel="2">
      <c r="B182" s="793"/>
      <c r="C182" s="848"/>
      <c r="D182" s="794"/>
      <c r="E182" s="795"/>
      <c r="F182" s="795"/>
      <c r="G182" s="796"/>
      <c r="H182" s="797"/>
      <c r="I182" s="798"/>
      <c r="J182" s="798"/>
      <c r="K182" s="804"/>
      <c r="L182" s="800"/>
      <c r="M182" s="801"/>
    </row>
    <row r="183" spans="2:13" ht="15.6" outlineLevel="2">
      <c r="B183" s="793"/>
      <c r="C183" s="848" t="s">
        <v>17</v>
      </c>
      <c r="D183" s="696" t="s">
        <v>424</v>
      </c>
      <c r="E183" s="849"/>
      <c r="F183" s="795"/>
      <c r="G183" s="817"/>
      <c r="H183" s="797"/>
      <c r="I183" s="798"/>
      <c r="J183" s="798"/>
      <c r="K183" s="804"/>
      <c r="L183" s="800"/>
      <c r="M183" s="801"/>
    </row>
    <row r="184" spans="2:13" ht="15.6" outlineLevel="2">
      <c r="B184" s="793"/>
      <c r="C184" s="848"/>
      <c r="D184" s="794">
        <v>1</v>
      </c>
      <c r="E184" s="812" t="s">
        <v>425</v>
      </c>
      <c r="F184" s="795"/>
      <c r="G184" s="817"/>
      <c r="H184" s="797">
        <f>E!R94</f>
        <v>36.180000000000007</v>
      </c>
      <c r="I184" s="798" t="str">
        <f>E!S94</f>
        <v>M2</v>
      </c>
      <c r="J184" s="829" t="s">
        <v>661</v>
      </c>
      <c r="K184" s="804" t="e">
        <f>VLOOKUP(J184,RKPANL!B:D,2,0)</f>
        <v>#N/A</v>
      </c>
      <c r="L184" s="800">
        <v>150000</v>
      </c>
      <c r="M184" s="801">
        <f t="shared" si="8"/>
        <v>5427000.0000000009</v>
      </c>
    </row>
    <row r="185" spans="2:13" ht="15.6" outlineLevel="2">
      <c r="B185" s="793"/>
      <c r="C185" s="848"/>
      <c r="D185" s="794">
        <v>2</v>
      </c>
      <c r="E185" s="812" t="s">
        <v>426</v>
      </c>
      <c r="F185" s="795"/>
      <c r="G185" s="817"/>
      <c r="H185" s="797">
        <f>E!R98</f>
        <v>36.180000000000007</v>
      </c>
      <c r="I185" s="798" t="str">
        <f>E!S98</f>
        <v>M2</v>
      </c>
      <c r="J185" s="798" t="s">
        <v>115</v>
      </c>
      <c r="K185" s="804" t="str">
        <f>VLOOKUP(J185,RKPANL!B:D,2,0)</f>
        <v>Pemasangan 1 m2 langit-langit gypsum board ukuran (120x240x9) mm, tebal 9 mm</v>
      </c>
      <c r="L185" s="800">
        <f>VLOOKUP(J185,RKPANL!B:D,3,0)</f>
        <v>65084.25</v>
      </c>
      <c r="M185" s="801">
        <f t="shared" si="8"/>
        <v>2354748.1650000005</v>
      </c>
    </row>
    <row r="186" spans="2:13" ht="15.6" outlineLevel="2">
      <c r="B186" s="793"/>
      <c r="C186" s="848"/>
      <c r="D186" s="794">
        <v>3</v>
      </c>
      <c r="E186" s="812" t="s">
        <v>427</v>
      </c>
      <c r="F186" s="795"/>
      <c r="G186" s="817"/>
      <c r="H186" s="797">
        <f>E!R99</f>
        <v>45.7</v>
      </c>
      <c r="I186" s="798" t="str">
        <f>E!S99</f>
        <v>M'</v>
      </c>
      <c r="J186" s="798" t="s">
        <v>118</v>
      </c>
      <c r="K186" s="804" t="str">
        <f>VLOOKUP(J186,RKPANL!B:D,2,0)</f>
        <v>Pemasangan 1 m' List Profil Gypsum 4"</v>
      </c>
      <c r="L186" s="800">
        <f>VLOOKUP(J186,RKPANL!B:D,3,0)</f>
        <v>38507.75</v>
      </c>
      <c r="M186" s="801">
        <f t="shared" si="8"/>
        <v>1759804.175</v>
      </c>
    </row>
    <row r="187" spans="2:13" ht="15.6" outlineLevel="2">
      <c r="B187" s="851"/>
      <c r="C187" s="848"/>
      <c r="D187" s="794"/>
      <c r="E187" s="794"/>
      <c r="F187" s="795"/>
      <c r="G187" s="817"/>
      <c r="H187" s="797"/>
      <c r="I187" s="798"/>
      <c r="J187" s="798"/>
      <c r="K187" s="804"/>
      <c r="L187" s="800"/>
      <c r="M187" s="801"/>
    </row>
    <row r="188" spans="2:13" ht="15.6" outlineLevel="2">
      <c r="B188" s="793"/>
      <c r="C188" s="848" t="s">
        <v>18</v>
      </c>
      <c r="D188" s="696" t="s">
        <v>353</v>
      </c>
      <c r="E188" s="849"/>
      <c r="F188" s="795"/>
      <c r="G188" s="796"/>
      <c r="H188" s="797"/>
      <c r="I188" s="798"/>
      <c r="J188" s="798"/>
      <c r="K188" s="804"/>
      <c r="L188" s="800"/>
      <c r="M188" s="801"/>
    </row>
    <row r="189" spans="2:13" ht="15.6" outlineLevel="2">
      <c r="B189" s="793"/>
      <c r="C189" s="848"/>
      <c r="D189" s="850">
        <v>1</v>
      </c>
      <c r="E189" s="845" t="s">
        <v>900</v>
      </c>
      <c r="F189" s="795"/>
      <c r="G189" s="796"/>
      <c r="H189" s="797">
        <f>H190</f>
        <v>8</v>
      </c>
      <c r="I189" s="798" t="s">
        <v>879</v>
      </c>
      <c r="J189" s="798" t="s">
        <v>290</v>
      </c>
      <c r="K189" s="804" t="str">
        <f>VLOOKUP(J189,RKPANL!B:D,2,0)</f>
        <v>Pasang 1 Titik Instalasi Penerangan dan Stop Kontak dengan Kabel NYA 2x2,5 mm</v>
      </c>
      <c r="L189" s="800">
        <f>VLOOKUP(J189,RKPANL!B:D,3,0)</f>
        <v>232084.375</v>
      </c>
      <c r="M189" s="801">
        <f>L189*H189</f>
        <v>1856675</v>
      </c>
    </row>
    <row r="190" spans="2:13" ht="15.6" outlineLevel="2">
      <c r="B190" s="793"/>
      <c r="C190" s="848"/>
      <c r="D190" s="850">
        <v>1</v>
      </c>
      <c r="E190" s="845" t="s">
        <v>842</v>
      </c>
      <c r="F190" s="795"/>
      <c r="G190" s="796"/>
      <c r="H190" s="797">
        <f>E!R107</f>
        <v>8</v>
      </c>
      <c r="I190" s="798" t="str">
        <f>E!S107</f>
        <v>Unit</v>
      </c>
      <c r="J190" s="798" t="s">
        <v>613</v>
      </c>
      <c r="K190" s="804" t="str">
        <f>VLOOKUP(J190,RKPANL!B:D,2,0)</f>
        <v>Pasang 1 buah Lampu LED 7 watt + Fitting Down Light</v>
      </c>
      <c r="L190" s="800">
        <f>VLOOKUP(J190,RKPANL!B:D,3,0)</f>
        <v>121813.75</v>
      </c>
      <c r="M190" s="801">
        <f t="shared" si="8"/>
        <v>974510</v>
      </c>
    </row>
    <row r="191" spans="2:13" ht="15.6" outlineLevel="2">
      <c r="B191" s="793"/>
      <c r="C191" s="848"/>
      <c r="D191" s="794"/>
      <c r="E191" s="795"/>
      <c r="F191" s="795"/>
      <c r="G191" s="796"/>
      <c r="H191" s="797"/>
      <c r="I191" s="798"/>
      <c r="J191" s="798"/>
      <c r="K191" s="804"/>
      <c r="L191" s="800"/>
      <c r="M191" s="801"/>
    </row>
    <row r="192" spans="2:13" ht="15.6" outlineLevel="2">
      <c r="B192" s="793"/>
      <c r="C192" s="848" t="s">
        <v>19</v>
      </c>
      <c r="D192" s="696" t="s">
        <v>357</v>
      </c>
      <c r="E192" s="849"/>
      <c r="F192" s="795"/>
      <c r="G192" s="817"/>
      <c r="H192" s="797"/>
      <c r="I192" s="798"/>
      <c r="J192" s="798"/>
      <c r="K192" s="804"/>
      <c r="L192" s="800"/>
      <c r="M192" s="801"/>
    </row>
    <row r="193" spans="2:14" ht="15.6" outlineLevel="2">
      <c r="B193" s="793"/>
      <c r="C193" s="848"/>
      <c r="D193" s="794">
        <v>1</v>
      </c>
      <c r="E193" s="846" t="s">
        <v>417</v>
      </c>
      <c r="F193" s="795"/>
      <c r="G193" s="817"/>
      <c r="H193" s="797">
        <f>E!R110</f>
        <v>25</v>
      </c>
      <c r="I193" s="798" t="str">
        <f>E!S110</f>
        <v>M'</v>
      </c>
      <c r="J193" s="798" t="s">
        <v>284</v>
      </c>
      <c r="K193" s="804" t="str">
        <f>VLOOKUP(J193,RKPANL!B:D,2,0)</f>
        <v>Pemasangan 1 m’ pipa PVC tipe AW diameter ½ ”</v>
      </c>
      <c r="L193" s="800">
        <f>VLOOKUP(J193,RKPANL!B:D,3,0)</f>
        <v>41465.166666666672</v>
      </c>
      <c r="M193" s="801">
        <f t="shared" si="8"/>
        <v>1036629.1666666667</v>
      </c>
    </row>
    <row r="194" spans="2:14" ht="15.6" outlineLevel="2">
      <c r="B194" s="793"/>
      <c r="C194" s="848"/>
      <c r="D194" s="794">
        <v>2</v>
      </c>
      <c r="E194" s="845" t="s">
        <v>416</v>
      </c>
      <c r="F194" s="795"/>
      <c r="G194" s="817"/>
      <c r="H194" s="797">
        <f>E!R111</f>
        <v>5</v>
      </c>
      <c r="I194" s="798" t="str">
        <f>E!S111</f>
        <v>Unit</v>
      </c>
      <c r="J194" s="798" t="s">
        <v>753</v>
      </c>
      <c r="K194" s="804" t="str">
        <f>VLOOKUP(J194,RKPANL!B:D,2,0)</f>
        <v>Pemasangan 1 buah kran diameter ½” atau ¾ ”</v>
      </c>
      <c r="L194" s="800">
        <f>VLOOKUP(J194,RKPANL!B:D,3,0)</f>
        <v>141881.25</v>
      </c>
      <c r="M194" s="801">
        <f t="shared" si="8"/>
        <v>709406.25</v>
      </c>
    </row>
    <row r="195" spans="2:14" ht="15.6" outlineLevel="2">
      <c r="B195" s="793"/>
      <c r="C195" s="848"/>
      <c r="D195" s="794">
        <v>3</v>
      </c>
      <c r="E195" s="846" t="s">
        <v>418</v>
      </c>
      <c r="F195" s="795"/>
      <c r="G195" s="817"/>
      <c r="H195" s="797">
        <f>E!R112</f>
        <v>5</v>
      </c>
      <c r="I195" s="798" t="str">
        <f>E!S112</f>
        <v>Unit</v>
      </c>
      <c r="J195" s="798" t="s">
        <v>750</v>
      </c>
      <c r="K195" s="804" t="str">
        <f>VLOOKUP(J195,RKPANL!B:D,2,0)</f>
        <v>Pemasangan 1 buah floor drain</v>
      </c>
      <c r="L195" s="800">
        <f>VLOOKUP(J195,RKPANL!B:D,3,0)</f>
        <v>161028.75</v>
      </c>
      <c r="M195" s="801">
        <f t="shared" si="8"/>
        <v>805143.75</v>
      </c>
    </row>
    <row r="196" spans="2:14" ht="15.6" outlineLevel="2">
      <c r="B196" s="851"/>
      <c r="C196" s="848"/>
      <c r="D196" s="794"/>
      <c r="E196" s="794"/>
      <c r="F196" s="795"/>
      <c r="G196" s="817"/>
      <c r="H196" s="797"/>
      <c r="I196" s="798"/>
      <c r="J196" s="798"/>
      <c r="K196" s="804"/>
      <c r="L196" s="800"/>
      <c r="M196" s="801"/>
    </row>
    <row r="197" spans="2:14" ht="15.6" outlineLevel="2">
      <c r="B197" s="793"/>
      <c r="C197" s="848" t="s">
        <v>404</v>
      </c>
      <c r="D197" s="696" t="s">
        <v>419</v>
      </c>
      <c r="E197" s="849"/>
      <c r="F197" s="795"/>
      <c r="G197" s="817"/>
      <c r="H197" s="797"/>
      <c r="I197" s="798"/>
      <c r="J197" s="798"/>
      <c r="K197" s="804"/>
      <c r="L197" s="800"/>
      <c r="M197" s="801"/>
    </row>
    <row r="198" spans="2:14" ht="15.6" outlineLevel="2">
      <c r="B198" s="793"/>
      <c r="C198" s="802"/>
      <c r="D198" s="794">
        <v>1</v>
      </c>
      <c r="E198" s="846" t="s">
        <v>907</v>
      </c>
      <c r="F198" s="795"/>
      <c r="G198" s="817"/>
      <c r="H198" s="797">
        <f>E!R115</f>
        <v>1</v>
      </c>
      <c r="I198" s="798" t="str">
        <f>E!S115</f>
        <v>Unit</v>
      </c>
      <c r="J198" s="798" t="s">
        <v>253</v>
      </c>
      <c r="K198" s="804" t="str">
        <f>VLOOKUP(J198,RKPANL!B:D,2,0)</f>
        <v>Memasang 1 bh kunci tanam</v>
      </c>
      <c r="L198" s="800">
        <f>VLOOKUP(J198,RKPANL!B:D,3,0)</f>
        <v>305698.75</v>
      </c>
      <c r="M198" s="801">
        <f t="shared" si="8"/>
        <v>305698.75</v>
      </c>
    </row>
    <row r="199" spans="2:14" ht="15.6" outlineLevel="2">
      <c r="B199" s="793"/>
      <c r="C199" s="802"/>
      <c r="D199" s="794">
        <v>2</v>
      </c>
      <c r="E199" s="846" t="s">
        <v>908</v>
      </c>
      <c r="F199" s="795"/>
      <c r="G199" s="817"/>
      <c r="H199" s="797">
        <f>E!R116</f>
        <v>5</v>
      </c>
      <c r="I199" s="798" t="str">
        <f>E!S116</f>
        <v>Unit</v>
      </c>
      <c r="J199" s="798" t="s">
        <v>660</v>
      </c>
      <c r="K199" s="804" t="str">
        <f>VLOOKUP(J199,RKPANL!B:D,2,0)</f>
        <v>Memasang 1 bh Pintu Aluminium Uk. 70x200 cm</v>
      </c>
      <c r="L199" s="800">
        <f>VLOOKUP(J199,RKPANL!B:D,3,0)</f>
        <v>1414068.75</v>
      </c>
      <c r="M199" s="801">
        <f t="shared" si="8"/>
        <v>7070343.75</v>
      </c>
    </row>
    <row r="200" spans="2:14" outlineLevel="2">
      <c r="B200" s="793"/>
      <c r="C200" s="802"/>
      <c r="D200" s="794"/>
      <c r="E200" s="795"/>
      <c r="F200" s="795"/>
      <c r="G200" s="796"/>
      <c r="H200" s="797"/>
      <c r="I200" s="798"/>
      <c r="J200" s="798"/>
      <c r="K200" s="841"/>
      <c r="L200" s="800"/>
      <c r="M200" s="801"/>
    </row>
    <row r="201" spans="2:14" ht="15.6" outlineLevel="2">
      <c r="B201" s="793"/>
      <c r="C201" s="848" t="s">
        <v>560</v>
      </c>
      <c r="D201" s="696" t="s">
        <v>422</v>
      </c>
      <c r="E201" s="849"/>
      <c r="F201" s="795"/>
      <c r="G201" s="817"/>
      <c r="H201" s="797"/>
      <c r="I201" s="798"/>
      <c r="J201" s="798"/>
      <c r="K201" s="804"/>
      <c r="L201" s="800"/>
      <c r="M201" s="801"/>
    </row>
    <row r="202" spans="2:14" ht="15.6" outlineLevel="2">
      <c r="B202" s="793"/>
      <c r="C202" s="802"/>
      <c r="D202" s="850">
        <v>1</v>
      </c>
      <c r="E202" s="845" t="s">
        <v>919</v>
      </c>
      <c r="F202" s="795"/>
      <c r="G202" s="817"/>
      <c r="H202" s="797">
        <f>E!R119</f>
        <v>45.7</v>
      </c>
      <c r="I202" s="798" t="str">
        <f>E!S119</f>
        <v>M2</v>
      </c>
      <c r="J202" s="798" t="s">
        <v>611</v>
      </c>
      <c r="K202" s="804" t="str">
        <f>VLOOKUP(J202,RKPANL!B:D,2,0)</f>
        <v>Pengecatan 1 m2 Tembok Lama (1 Lapis Cat Dasar, 2 Lapis Cat 
Penutup) 
lapis cat penutup)</v>
      </c>
      <c r="L202" s="800">
        <f>VLOOKUP(J202,RKPANL!B:D,3,0)</f>
        <v>43204.35</v>
      </c>
      <c r="M202" s="801">
        <f t="shared" si="8"/>
        <v>1974438.7950000002</v>
      </c>
    </row>
    <row r="203" spans="2:14" ht="15.6" outlineLevel="2">
      <c r="B203" s="793"/>
      <c r="C203" s="802"/>
      <c r="D203" s="850">
        <v>2</v>
      </c>
      <c r="E203" s="845" t="s">
        <v>445</v>
      </c>
      <c r="F203" s="795"/>
      <c r="G203" s="817"/>
      <c r="H203" s="797">
        <f>E!R124</f>
        <v>36.180000000000007</v>
      </c>
      <c r="I203" s="798" t="str">
        <f>E!S124</f>
        <v>M2</v>
      </c>
      <c r="J203" s="798" t="s">
        <v>139</v>
      </c>
      <c r="K203" s="804" t="str">
        <f>VLOOKUP(J203,RKPANL!B:D,2,0)</f>
        <v>Pengecatan 1 m2 tembok baru (1 lapis plamuur, 1 lapis cat dasar, 2
lapis cat penutup)</v>
      </c>
      <c r="L203" s="800">
        <f>VLOOKUP(J203,RKPANL!B:D,3,0)</f>
        <v>55114.9</v>
      </c>
      <c r="M203" s="801">
        <f>L203*H203</f>
        <v>1994057.0820000004</v>
      </c>
    </row>
    <row r="204" spans="2:14" outlineLevel="2">
      <c r="B204" s="793"/>
      <c r="C204" s="802"/>
      <c r="D204" s="794"/>
      <c r="E204" s="795"/>
      <c r="F204" s="795"/>
      <c r="G204" s="796"/>
      <c r="H204" s="797"/>
      <c r="I204" s="798"/>
      <c r="J204" s="798"/>
      <c r="K204" s="841"/>
      <c r="L204" s="800"/>
      <c r="M204" s="801"/>
    </row>
    <row r="205" spans="2:14" ht="15.6" outlineLevel="1">
      <c r="B205" s="842"/>
      <c r="C205" s="843"/>
      <c r="D205" s="853"/>
      <c r="E205" s="843"/>
      <c r="F205" s="843"/>
      <c r="G205" s="843"/>
      <c r="H205" s="809"/>
      <c r="I205" s="843"/>
      <c r="J205" s="843"/>
      <c r="K205" s="844"/>
      <c r="L205" s="883" t="s">
        <v>831</v>
      </c>
      <c r="M205" s="810">
        <f>SUM(M176:M204)</f>
        <v>35894102.383666672</v>
      </c>
    </row>
    <row r="206" spans="2:14" ht="15.6" outlineLevel="1">
      <c r="B206" s="880"/>
      <c r="C206" s="881" t="s">
        <v>822</v>
      </c>
      <c r="D206" s="696" t="s">
        <v>371</v>
      </c>
      <c r="E206" s="875"/>
      <c r="F206" s="795"/>
      <c r="G206" s="796"/>
      <c r="H206" s="797"/>
      <c r="I206" s="798"/>
      <c r="J206" s="798"/>
      <c r="K206" s="895"/>
      <c r="L206" s="877"/>
      <c r="M206" s="878"/>
    </row>
    <row r="207" spans="2:14" ht="15.6" outlineLevel="2">
      <c r="B207" s="793"/>
      <c r="C207" s="848" t="s">
        <v>2</v>
      </c>
      <c r="D207" s="696" t="s">
        <v>349</v>
      </c>
      <c r="E207" s="849"/>
      <c r="F207" s="795"/>
      <c r="G207" s="796"/>
      <c r="H207" s="797"/>
      <c r="I207" s="798"/>
      <c r="J207" s="798"/>
      <c r="K207" s="804"/>
      <c r="L207" s="800"/>
      <c r="M207" s="801"/>
      <c r="N207" s="884"/>
    </row>
    <row r="208" spans="2:14" ht="15.6" outlineLevel="2">
      <c r="B208" s="793"/>
      <c r="C208" s="848"/>
      <c r="D208" s="794">
        <v>1</v>
      </c>
      <c r="E208" s="795" t="s">
        <v>899</v>
      </c>
      <c r="F208" s="795"/>
      <c r="G208" s="796"/>
      <c r="H208" s="797">
        <f>E!R127</f>
        <v>1</v>
      </c>
      <c r="I208" s="798" t="str">
        <f>E!S127</f>
        <v>Ls</v>
      </c>
      <c r="J208" s="829" t="s">
        <v>73</v>
      </c>
      <c r="K208" s="804" t="e">
        <f>VLOOKUP(J208,RKPANL!B:D,2,0)</f>
        <v>#N/A</v>
      </c>
      <c r="L208" s="800">
        <v>2000000</v>
      </c>
      <c r="M208" s="801">
        <f>L208*H208</f>
        <v>2000000</v>
      </c>
    </row>
    <row r="209" spans="2:13" ht="15.6" outlineLevel="2">
      <c r="B209" s="793"/>
      <c r="C209" s="848"/>
      <c r="D209" s="794">
        <v>2</v>
      </c>
      <c r="E209" s="795" t="s">
        <v>415</v>
      </c>
      <c r="F209" s="795"/>
      <c r="G209" s="796"/>
      <c r="H209" s="797">
        <f>E!R128</f>
        <v>1</v>
      </c>
      <c r="I209" s="798" t="str">
        <f>E!S128</f>
        <v>Ls</v>
      </c>
      <c r="J209" s="829" t="s">
        <v>73</v>
      </c>
      <c r="K209" s="804" t="e">
        <f>VLOOKUP(J209,RKPANL!B:D,2,0)</f>
        <v>#N/A</v>
      </c>
      <c r="L209" s="800">
        <v>1500000</v>
      </c>
      <c r="M209" s="801">
        <f>L209*H209</f>
        <v>1500000</v>
      </c>
    </row>
    <row r="210" spans="2:13" ht="15.6" outlineLevel="2">
      <c r="B210" s="793"/>
      <c r="C210" s="848"/>
      <c r="D210" s="794"/>
      <c r="E210" s="812"/>
      <c r="F210" s="795"/>
      <c r="G210" s="796"/>
      <c r="H210" s="797"/>
      <c r="I210" s="798"/>
      <c r="J210" s="798"/>
      <c r="K210" s="804"/>
      <c r="L210" s="800"/>
      <c r="M210" s="801"/>
    </row>
    <row r="211" spans="2:13" ht="15.6" outlineLevel="2">
      <c r="B211" s="793"/>
      <c r="C211" s="848" t="s">
        <v>16</v>
      </c>
      <c r="D211" s="696" t="s">
        <v>400</v>
      </c>
      <c r="E211" s="849"/>
      <c r="F211" s="795"/>
      <c r="G211" s="796"/>
      <c r="H211" s="797"/>
      <c r="I211" s="798"/>
      <c r="J211" s="798"/>
      <c r="K211" s="804"/>
      <c r="L211" s="800"/>
      <c r="M211" s="801"/>
    </row>
    <row r="212" spans="2:13" ht="15.6" outlineLevel="2">
      <c r="B212" s="793"/>
      <c r="C212" s="848"/>
      <c r="D212" s="794">
        <v>1</v>
      </c>
      <c r="E212" s="795" t="s">
        <v>420</v>
      </c>
      <c r="F212" s="795"/>
      <c r="G212" s="796"/>
      <c r="H212" s="797">
        <f>E!R131</f>
        <v>9</v>
      </c>
      <c r="I212" s="798" t="str">
        <f>E!S131</f>
        <v>M2</v>
      </c>
      <c r="J212" s="798" t="s">
        <v>689</v>
      </c>
      <c r="K212" s="804" t="str">
        <f>VLOOKUP(J212,RKPANL!B:D,2,0)</f>
        <v>Pemasangan 1m2 lantai keramik ukuran 40cm x 40cm</v>
      </c>
      <c r="L212" s="800">
        <f>VLOOKUP(J212,RKPANL!B:D,3,0)</f>
        <v>309005</v>
      </c>
      <c r="M212" s="801">
        <f>L212*H212</f>
        <v>2781045</v>
      </c>
    </row>
    <row r="213" spans="2:13" ht="15.6" outlineLevel="2">
      <c r="B213" s="793"/>
      <c r="C213" s="848"/>
      <c r="D213" s="794">
        <v>2</v>
      </c>
      <c r="E213" s="795" t="s">
        <v>421</v>
      </c>
      <c r="F213" s="795"/>
      <c r="G213" s="796"/>
      <c r="H213" s="797">
        <f>E!R135</f>
        <v>9</v>
      </c>
      <c r="I213" s="798" t="str">
        <f>E!S135</f>
        <v>M2</v>
      </c>
      <c r="J213" s="798" t="s">
        <v>688</v>
      </c>
      <c r="K213" s="804" t="str">
        <f>VLOOKUP(J213,RKPANL!B:D,2,0)</f>
        <v>Pemasangan 1 m2 dinding keramik uk 20 cm x 40 cm</v>
      </c>
      <c r="L213" s="800">
        <f>VLOOKUP(J213,RKPANL!B:D,3,0)</f>
        <v>371622.5</v>
      </c>
      <c r="M213" s="801">
        <f>L213*H213</f>
        <v>3344602.5</v>
      </c>
    </row>
    <row r="214" spans="2:13" ht="15.6" outlineLevel="2">
      <c r="B214" s="793"/>
      <c r="C214" s="848"/>
      <c r="D214" s="794"/>
      <c r="E214" s="795"/>
      <c r="F214" s="795"/>
      <c r="G214" s="796"/>
      <c r="H214" s="797"/>
      <c r="I214" s="798"/>
      <c r="J214" s="798"/>
      <c r="K214" s="804"/>
      <c r="L214" s="800"/>
      <c r="M214" s="801"/>
    </row>
    <row r="215" spans="2:13" ht="15.6" outlineLevel="2">
      <c r="B215" s="793"/>
      <c r="C215" s="848" t="s">
        <v>17</v>
      </c>
      <c r="D215" s="696" t="s">
        <v>353</v>
      </c>
      <c r="E215" s="849"/>
      <c r="F215" s="795"/>
      <c r="G215" s="796"/>
      <c r="H215" s="797"/>
      <c r="I215" s="798"/>
      <c r="J215" s="798"/>
      <c r="K215" s="804"/>
      <c r="L215" s="800"/>
      <c r="M215" s="801"/>
    </row>
    <row r="216" spans="2:13" ht="15.6" outlineLevel="2">
      <c r="B216" s="793"/>
      <c r="C216" s="848"/>
      <c r="D216" s="850">
        <v>1</v>
      </c>
      <c r="E216" s="845" t="s">
        <v>900</v>
      </c>
      <c r="F216" s="795"/>
      <c r="G216" s="796"/>
      <c r="H216" s="797">
        <f>H217</f>
        <v>10</v>
      </c>
      <c r="I216" s="798" t="s">
        <v>879</v>
      </c>
      <c r="J216" s="798" t="s">
        <v>290</v>
      </c>
      <c r="K216" s="804" t="str">
        <f>VLOOKUP(J216,RKPANL!B:D,2,0)</f>
        <v>Pasang 1 Titik Instalasi Penerangan dan Stop Kontak dengan Kabel NYA 2x2,5 mm</v>
      </c>
      <c r="L216" s="800">
        <f>VLOOKUP(J216,RKPANL!B:D,3,0)</f>
        <v>232084.375</v>
      </c>
      <c r="M216" s="801">
        <f>L216*H216</f>
        <v>2320843.75</v>
      </c>
    </row>
    <row r="217" spans="2:13" ht="15.6" outlineLevel="2">
      <c r="B217" s="793"/>
      <c r="C217" s="848"/>
      <c r="D217" s="850">
        <v>2</v>
      </c>
      <c r="E217" s="845" t="s">
        <v>842</v>
      </c>
      <c r="F217" s="795"/>
      <c r="G217" s="796"/>
      <c r="H217" s="797">
        <f>E!R140</f>
        <v>10</v>
      </c>
      <c r="I217" s="798" t="str">
        <f>E!S140</f>
        <v>Unit</v>
      </c>
      <c r="J217" s="798" t="s">
        <v>613</v>
      </c>
      <c r="K217" s="804" t="str">
        <f>VLOOKUP(J217,RKPANL!B:D,2,0)</f>
        <v>Pasang 1 buah Lampu LED 7 watt + Fitting Down Light</v>
      </c>
      <c r="L217" s="800">
        <f>VLOOKUP(J217,RKPANL!B:D,3,0)</f>
        <v>121813.75</v>
      </c>
      <c r="M217" s="801">
        <f>L217*H217</f>
        <v>1218137.5</v>
      </c>
    </row>
    <row r="218" spans="2:13" ht="15.6" outlineLevel="2">
      <c r="B218" s="793"/>
      <c r="C218" s="848"/>
      <c r="D218" s="794"/>
      <c r="E218" s="795"/>
      <c r="F218" s="795"/>
      <c r="G218" s="796"/>
      <c r="H218" s="797"/>
      <c r="I218" s="798"/>
      <c r="J218" s="798"/>
      <c r="K218" s="804"/>
      <c r="L218" s="800"/>
      <c r="M218" s="801"/>
    </row>
    <row r="219" spans="2:13" ht="15.6" outlineLevel="2">
      <c r="B219" s="793"/>
      <c r="C219" s="848" t="s">
        <v>18</v>
      </c>
      <c r="D219" s="696" t="s">
        <v>357</v>
      </c>
      <c r="E219" s="849"/>
      <c r="F219" s="795"/>
      <c r="G219" s="817"/>
      <c r="H219" s="797"/>
      <c r="I219" s="798"/>
      <c r="J219" s="798"/>
      <c r="K219" s="804"/>
      <c r="L219" s="800"/>
      <c r="M219" s="801"/>
    </row>
    <row r="220" spans="2:13" ht="15.6" outlineLevel="2">
      <c r="B220" s="793"/>
      <c r="C220" s="848"/>
      <c r="D220" s="794">
        <v>1</v>
      </c>
      <c r="E220" s="846" t="s">
        <v>417</v>
      </c>
      <c r="F220" s="795"/>
      <c r="G220" s="817"/>
      <c r="H220" s="797">
        <f>E!R143</f>
        <v>25</v>
      </c>
      <c r="I220" s="798" t="str">
        <f>E!S143</f>
        <v>M'</v>
      </c>
      <c r="J220" s="798" t="s">
        <v>284</v>
      </c>
      <c r="K220" s="804" t="str">
        <f>VLOOKUP(J220,RKPANL!B:D,2,0)</f>
        <v>Pemasangan 1 m’ pipa PVC tipe AW diameter ½ ”</v>
      </c>
      <c r="L220" s="800">
        <f>VLOOKUP(J220,RKPANL!B:D,3,0)</f>
        <v>41465.166666666672</v>
      </c>
      <c r="M220" s="801">
        <f>L220*H220</f>
        <v>1036629.1666666667</v>
      </c>
    </row>
    <row r="221" spans="2:13" ht="15.6" outlineLevel="2">
      <c r="B221" s="793"/>
      <c r="C221" s="848"/>
      <c r="D221" s="794">
        <v>2</v>
      </c>
      <c r="E221" s="845" t="s">
        <v>416</v>
      </c>
      <c r="F221" s="795"/>
      <c r="G221" s="817"/>
      <c r="H221" s="797">
        <f>E!R144</f>
        <v>6</v>
      </c>
      <c r="I221" s="798" t="str">
        <f>E!S144</f>
        <v>Unit</v>
      </c>
      <c r="J221" s="798" t="s">
        <v>753</v>
      </c>
      <c r="K221" s="804" t="str">
        <f>VLOOKUP(J221,RKPANL!B:D,2,0)</f>
        <v>Pemasangan 1 buah kran diameter ½” atau ¾ ”</v>
      </c>
      <c r="L221" s="800">
        <f>VLOOKUP(J221,RKPANL!B:D,3,0)</f>
        <v>141881.25</v>
      </c>
      <c r="M221" s="801">
        <f>L221*H221</f>
        <v>851287.5</v>
      </c>
    </row>
    <row r="222" spans="2:13" ht="15.6" outlineLevel="2">
      <c r="B222" s="793"/>
      <c r="C222" s="848"/>
      <c r="D222" s="794">
        <v>3</v>
      </c>
      <c r="E222" s="846" t="s">
        <v>418</v>
      </c>
      <c r="F222" s="795"/>
      <c r="G222" s="817"/>
      <c r="H222" s="797">
        <f>E!R145</f>
        <v>6</v>
      </c>
      <c r="I222" s="798" t="str">
        <f>E!S145</f>
        <v>Unit</v>
      </c>
      <c r="J222" s="798" t="s">
        <v>750</v>
      </c>
      <c r="K222" s="804" t="str">
        <f>VLOOKUP(J222,RKPANL!B:D,2,0)</f>
        <v>Pemasangan 1 buah floor drain</v>
      </c>
      <c r="L222" s="800">
        <f>VLOOKUP(J222,RKPANL!B:D,3,0)</f>
        <v>161028.75</v>
      </c>
      <c r="M222" s="801">
        <f>L222*H222</f>
        <v>966172.5</v>
      </c>
    </row>
    <row r="223" spans="2:13" ht="15.6" outlineLevel="2">
      <c r="B223" s="851"/>
      <c r="C223" s="848"/>
      <c r="D223" s="794"/>
      <c r="E223" s="794"/>
      <c r="F223" s="795"/>
      <c r="G223" s="817"/>
      <c r="H223" s="797"/>
      <c r="I223" s="852"/>
      <c r="J223" s="798"/>
      <c r="K223" s="804"/>
      <c r="L223" s="800"/>
      <c r="M223" s="801"/>
    </row>
    <row r="224" spans="2:13" ht="15.6" outlineLevel="2">
      <c r="B224" s="793"/>
      <c r="C224" s="848" t="s">
        <v>19</v>
      </c>
      <c r="D224" s="696" t="s">
        <v>419</v>
      </c>
      <c r="E224" s="849"/>
      <c r="F224" s="795"/>
      <c r="G224" s="817"/>
      <c r="H224" s="797"/>
      <c r="I224" s="798"/>
      <c r="J224" s="798"/>
      <c r="K224" s="804"/>
      <c r="L224" s="800"/>
      <c r="M224" s="801"/>
    </row>
    <row r="225" spans="2:14" ht="15.6" outlineLevel="2">
      <c r="B225" s="793"/>
      <c r="C225" s="848"/>
      <c r="D225" s="794">
        <v>1</v>
      </c>
      <c r="E225" s="846" t="s">
        <v>907</v>
      </c>
      <c r="F225" s="795"/>
      <c r="G225" s="817"/>
      <c r="H225" s="797">
        <f>E!R148</f>
        <v>2</v>
      </c>
      <c r="I225" s="798" t="str">
        <f>E!S148</f>
        <v>Unit</v>
      </c>
      <c r="J225" s="798" t="s">
        <v>253</v>
      </c>
      <c r="K225" s="804" t="str">
        <f>VLOOKUP(J225,RKPANL!B:D,2,0)</f>
        <v>Memasang 1 bh kunci tanam</v>
      </c>
      <c r="L225" s="800">
        <f>VLOOKUP(J225,RKPANL!B:D,3,0)</f>
        <v>305698.75</v>
      </c>
      <c r="M225" s="801">
        <f>L225*H225</f>
        <v>611397.5</v>
      </c>
    </row>
    <row r="226" spans="2:14" ht="15.6" outlineLevel="2">
      <c r="B226" s="793"/>
      <c r="C226" s="848"/>
      <c r="D226" s="794">
        <v>2</v>
      </c>
      <c r="E226" s="846" t="s">
        <v>908</v>
      </c>
      <c r="F226" s="795"/>
      <c r="G226" s="817"/>
      <c r="H226" s="797">
        <f>E!R149</f>
        <v>6</v>
      </c>
      <c r="I226" s="798" t="str">
        <f>E!S149</f>
        <v>Unit</v>
      </c>
      <c r="J226" s="798" t="s">
        <v>660</v>
      </c>
      <c r="K226" s="804" t="str">
        <f>VLOOKUP(J226,RKPANL!B:D,2,0)</f>
        <v>Memasang 1 bh Pintu Aluminium Uk. 70x200 cm</v>
      </c>
      <c r="L226" s="800">
        <f>VLOOKUP(J226,RKPANL!B:D,3,0)</f>
        <v>1414068.75</v>
      </c>
      <c r="M226" s="801">
        <f>L226*H226</f>
        <v>8484412.5</v>
      </c>
      <c r="N226" s="884"/>
    </row>
    <row r="227" spans="2:14" ht="15.6" outlineLevel="2">
      <c r="B227" s="793"/>
      <c r="C227" s="848"/>
      <c r="D227" s="794"/>
      <c r="E227" s="795"/>
      <c r="F227" s="795"/>
      <c r="G227" s="796"/>
      <c r="H227" s="797"/>
      <c r="I227" s="798"/>
      <c r="J227" s="798"/>
      <c r="K227" s="841"/>
      <c r="L227" s="800"/>
      <c r="M227" s="801"/>
    </row>
    <row r="228" spans="2:14" ht="15.6" outlineLevel="2">
      <c r="B228" s="793"/>
      <c r="C228" s="848" t="s">
        <v>404</v>
      </c>
      <c r="D228" s="696" t="s">
        <v>422</v>
      </c>
      <c r="E228" s="849"/>
      <c r="F228" s="795"/>
      <c r="G228" s="817"/>
      <c r="H228" s="797"/>
      <c r="I228" s="798"/>
      <c r="J228" s="798"/>
      <c r="K228" s="804"/>
      <c r="L228" s="800"/>
      <c r="M228" s="801"/>
    </row>
    <row r="229" spans="2:14" ht="15.6" outlineLevel="2">
      <c r="B229" s="793"/>
      <c r="C229" s="802"/>
      <c r="D229" s="850">
        <v>1</v>
      </c>
      <c r="E229" s="845" t="s">
        <v>919</v>
      </c>
      <c r="F229" s="795"/>
      <c r="G229" s="817"/>
      <c r="H229" s="797">
        <f>E!R152</f>
        <v>58.4</v>
      </c>
      <c r="I229" s="798" t="str">
        <f>E!S152</f>
        <v>M2</v>
      </c>
      <c r="J229" s="798" t="s">
        <v>611</v>
      </c>
      <c r="K229" s="804" t="str">
        <f>VLOOKUP(J229,RKPANL!B:D,2,0)</f>
        <v>Pengecatan 1 m2 Tembok Lama (1 Lapis Cat Dasar, 2 Lapis Cat 
Penutup) 
lapis cat penutup)</v>
      </c>
      <c r="L229" s="800">
        <f>VLOOKUP(J229,RKPANL!B:D,3,0)</f>
        <v>43204.35</v>
      </c>
      <c r="M229" s="801">
        <f>L229*H229</f>
        <v>2523134.04</v>
      </c>
    </row>
    <row r="230" spans="2:14" outlineLevel="2">
      <c r="B230" s="793"/>
      <c r="C230" s="802"/>
      <c r="D230" s="794"/>
      <c r="E230" s="795"/>
      <c r="F230" s="795"/>
      <c r="G230" s="796"/>
      <c r="H230" s="797"/>
      <c r="I230" s="798"/>
      <c r="J230" s="798"/>
      <c r="K230" s="841"/>
      <c r="L230" s="800"/>
      <c r="M230" s="801"/>
    </row>
    <row r="231" spans="2:14" ht="15.6" outlineLevel="1">
      <c r="B231" s="842"/>
      <c r="C231" s="843"/>
      <c r="D231" s="853"/>
      <c r="E231" s="843"/>
      <c r="F231" s="843"/>
      <c r="G231" s="843"/>
      <c r="H231" s="809"/>
      <c r="I231" s="843"/>
      <c r="J231" s="843"/>
      <c r="K231" s="844"/>
      <c r="L231" s="883" t="s">
        <v>832</v>
      </c>
      <c r="M231" s="810">
        <f>SUM(M208:M230)</f>
        <v>27637661.956666663</v>
      </c>
    </row>
    <row r="232" spans="2:14" ht="15.6">
      <c r="B232" s="807"/>
      <c r="C232" s="808"/>
      <c r="D232" s="854"/>
      <c r="E232" s="808"/>
      <c r="F232" s="808"/>
      <c r="G232" s="808"/>
      <c r="H232" s="809"/>
      <c r="I232" s="808"/>
      <c r="J232" s="808"/>
      <c r="K232" s="1224" t="s">
        <v>359</v>
      </c>
      <c r="L232" s="1225"/>
      <c r="M232" s="810">
        <f>SUM(M122:M231)/2</f>
        <v>126313067.98866665</v>
      </c>
      <c r="N232" s="879">
        <f>M232</f>
        <v>126313067.98866665</v>
      </c>
    </row>
    <row r="233" spans="2:14" ht="15.6">
      <c r="B233" s="851" t="s">
        <v>163</v>
      </c>
      <c r="C233" s="874" t="s">
        <v>360</v>
      </c>
      <c r="E233" s="875"/>
      <c r="F233" s="795"/>
      <c r="G233" s="796"/>
      <c r="H233" s="797"/>
      <c r="I233" s="798"/>
      <c r="J233" s="798"/>
      <c r="K233" s="876"/>
      <c r="L233" s="877"/>
      <c r="M233" s="878"/>
    </row>
    <row r="234" spans="2:14" ht="15.6" outlineLevel="1">
      <c r="B234" s="880"/>
      <c r="C234" s="881" t="s">
        <v>815</v>
      </c>
      <c r="D234" s="696" t="s">
        <v>368</v>
      </c>
      <c r="E234" s="875"/>
      <c r="F234" s="795"/>
      <c r="G234" s="796"/>
      <c r="H234" s="797"/>
      <c r="I234" s="798"/>
      <c r="J234" s="798"/>
      <c r="K234" s="882"/>
      <c r="L234" s="877"/>
      <c r="M234" s="878"/>
    </row>
    <row r="235" spans="2:14" ht="15.6" outlineLevel="2">
      <c r="B235" s="793"/>
      <c r="C235" s="848" t="s">
        <v>2</v>
      </c>
      <c r="D235" s="696" t="s">
        <v>349</v>
      </c>
      <c r="E235" s="849"/>
      <c r="F235" s="795"/>
      <c r="G235" s="796"/>
      <c r="H235" s="797"/>
      <c r="I235" s="798"/>
      <c r="J235" s="798"/>
      <c r="K235" s="804"/>
      <c r="L235" s="800"/>
      <c r="M235" s="801"/>
      <c r="N235" s="884"/>
    </row>
    <row r="236" spans="2:14" ht="15.6" outlineLevel="2">
      <c r="B236" s="793"/>
      <c r="C236" s="848"/>
      <c r="D236" s="794">
        <v>1</v>
      </c>
      <c r="E236" s="795" t="s">
        <v>899</v>
      </c>
      <c r="F236" s="795"/>
      <c r="G236" s="796"/>
      <c r="H236" s="797">
        <f>F!R17</f>
        <v>1</v>
      </c>
      <c r="I236" s="798" t="str">
        <f>F!S17</f>
        <v>Ls</v>
      </c>
      <c r="J236" s="829" t="s">
        <v>73</v>
      </c>
      <c r="K236" s="804" t="e">
        <f>VLOOKUP(J236,RKPANL!B:D,2,0)</f>
        <v>#N/A</v>
      </c>
      <c r="L236" s="800">
        <v>2000000</v>
      </c>
      <c r="M236" s="801">
        <f>L236*H236</f>
        <v>2000000</v>
      </c>
    </row>
    <row r="237" spans="2:14" ht="15.6" outlineLevel="2">
      <c r="B237" s="793"/>
      <c r="C237" s="848"/>
      <c r="D237" s="794">
        <v>2</v>
      </c>
      <c r="E237" s="795" t="s">
        <v>415</v>
      </c>
      <c r="F237" s="795"/>
      <c r="G237" s="796"/>
      <c r="H237" s="797">
        <f>F!R18</f>
        <v>1</v>
      </c>
      <c r="I237" s="798" t="str">
        <f>F!S18</f>
        <v>Ls</v>
      </c>
      <c r="J237" s="829" t="s">
        <v>73</v>
      </c>
      <c r="K237" s="804" t="e">
        <f>VLOOKUP(J237,RKPANL!B:D,2,0)</f>
        <v>#N/A</v>
      </c>
      <c r="L237" s="800">
        <v>1500000</v>
      </c>
      <c r="M237" s="801">
        <f>L237*H237</f>
        <v>1500000</v>
      </c>
    </row>
    <row r="238" spans="2:14" ht="15.6" outlineLevel="2">
      <c r="B238" s="793"/>
      <c r="C238" s="848"/>
      <c r="D238" s="794"/>
      <c r="E238" s="812"/>
      <c r="F238" s="795"/>
      <c r="G238" s="796"/>
      <c r="H238" s="797"/>
      <c r="I238" s="798"/>
      <c r="J238" s="798"/>
      <c r="K238" s="804"/>
      <c r="L238" s="800"/>
      <c r="M238" s="801"/>
    </row>
    <row r="239" spans="2:14" ht="15.6" outlineLevel="2">
      <c r="B239" s="793"/>
      <c r="C239" s="848" t="s">
        <v>16</v>
      </c>
      <c r="D239" s="696" t="s">
        <v>400</v>
      </c>
      <c r="E239" s="849"/>
      <c r="F239" s="795"/>
      <c r="G239" s="796"/>
      <c r="H239" s="797"/>
      <c r="I239" s="798"/>
      <c r="J239" s="798"/>
      <c r="K239" s="804"/>
      <c r="L239" s="800"/>
      <c r="M239" s="801"/>
    </row>
    <row r="240" spans="2:14" ht="15.6" outlineLevel="2">
      <c r="B240" s="793"/>
      <c r="C240" s="848"/>
      <c r="D240" s="794">
        <v>1</v>
      </c>
      <c r="E240" s="795" t="s">
        <v>891</v>
      </c>
      <c r="F240" s="795"/>
      <c r="G240" s="796"/>
      <c r="H240" s="797">
        <f>F!R21</f>
        <v>22.545000000000002</v>
      </c>
      <c r="I240" s="798" t="str">
        <f>F!S21</f>
        <v>M2</v>
      </c>
      <c r="J240" s="798" t="s">
        <v>689</v>
      </c>
      <c r="K240" s="804" t="str">
        <f>VLOOKUP(J240,RKPANL!B:D,2,0)</f>
        <v>Pemasangan 1m2 lantai keramik ukuran 40cm x 40cm</v>
      </c>
      <c r="L240" s="800">
        <f>VLOOKUP(J240,RKPANL!B:D,3,0)</f>
        <v>309005</v>
      </c>
      <c r="M240" s="801">
        <f>L240*H240</f>
        <v>6966517.7250000006</v>
      </c>
    </row>
    <row r="241" spans="2:13" ht="15.6" outlineLevel="2">
      <c r="B241" s="793"/>
      <c r="C241" s="848"/>
      <c r="D241" s="794">
        <v>2</v>
      </c>
      <c r="E241" s="795" t="s">
        <v>421</v>
      </c>
      <c r="F241" s="795"/>
      <c r="G241" s="796"/>
      <c r="H241" s="797">
        <f>F!R32</f>
        <v>15</v>
      </c>
      <c r="I241" s="798" t="str">
        <f>F!S32</f>
        <v>M2</v>
      </c>
      <c r="J241" s="798" t="s">
        <v>688</v>
      </c>
      <c r="K241" s="804" t="str">
        <f>VLOOKUP(J241,RKPANL!B:D,2,0)</f>
        <v>Pemasangan 1 m2 dinding keramik uk 20 cm x 40 cm</v>
      </c>
      <c r="L241" s="800">
        <f>VLOOKUP(J241,RKPANL!B:D,3,0)</f>
        <v>371622.5</v>
      </c>
      <c r="M241" s="801">
        <f>L241*H241</f>
        <v>5574337.5</v>
      </c>
    </row>
    <row r="242" spans="2:13" ht="15.6" outlineLevel="2">
      <c r="B242" s="793"/>
      <c r="C242" s="848"/>
      <c r="D242" s="794">
        <v>3</v>
      </c>
      <c r="E242" s="795" t="s">
        <v>481</v>
      </c>
      <c r="F242" s="795"/>
      <c r="G242" s="796"/>
      <c r="H242" s="797">
        <f>F!R36</f>
        <v>22.545000000000002</v>
      </c>
      <c r="I242" s="798" t="str">
        <f>F!S36</f>
        <v>M2</v>
      </c>
      <c r="J242" s="798" t="s">
        <v>621</v>
      </c>
      <c r="K242" s="804" t="str">
        <f>VLOOKUP(J242,RKPANL!B:D,2,0)</f>
        <v>Pemasangan 1 m2 waterproofing onducoat PA 
campuran 1SP :4PP</v>
      </c>
      <c r="L242" s="800">
        <f>VLOOKUP(J242,RKPANL!B:D,3,0)</f>
        <v>172097.5</v>
      </c>
      <c r="M242" s="801">
        <f>L242*H242</f>
        <v>3879938.1375000002</v>
      </c>
    </row>
    <row r="243" spans="2:13" ht="15.6" outlineLevel="2">
      <c r="B243" s="793"/>
      <c r="C243" s="848"/>
      <c r="D243" s="794"/>
      <c r="E243" s="795"/>
      <c r="F243" s="795"/>
      <c r="G243" s="796"/>
      <c r="H243" s="797"/>
      <c r="I243" s="798"/>
      <c r="J243" s="798"/>
      <c r="K243" s="804"/>
      <c r="L243" s="800"/>
      <c r="M243" s="801"/>
    </row>
    <row r="244" spans="2:13" ht="15.6" outlineLevel="2">
      <c r="B244" s="793"/>
      <c r="C244" s="848" t="s">
        <v>17</v>
      </c>
      <c r="D244" s="696" t="s">
        <v>353</v>
      </c>
      <c r="E244" s="849"/>
      <c r="F244" s="795"/>
      <c r="G244" s="796"/>
      <c r="H244" s="797"/>
      <c r="I244" s="798"/>
      <c r="J244" s="798"/>
      <c r="K244" s="804"/>
      <c r="L244" s="800"/>
      <c r="M244" s="801"/>
    </row>
    <row r="245" spans="2:13" ht="15.6" outlineLevel="2">
      <c r="B245" s="793"/>
      <c r="C245" s="848"/>
      <c r="D245" s="850">
        <v>1</v>
      </c>
      <c r="E245" s="845" t="s">
        <v>900</v>
      </c>
      <c r="F245" s="795"/>
      <c r="G245" s="796"/>
      <c r="H245" s="797">
        <f>H246</f>
        <v>19</v>
      </c>
      <c r="I245" s="798" t="s">
        <v>879</v>
      </c>
      <c r="J245" s="798" t="s">
        <v>290</v>
      </c>
      <c r="K245" s="804" t="str">
        <f>VLOOKUP(J245,RKPANL!B:D,2,0)</f>
        <v>Pasang 1 Titik Instalasi Penerangan dan Stop Kontak dengan Kabel NYA 2x2,5 mm</v>
      </c>
      <c r="L245" s="800">
        <f>VLOOKUP(J245,RKPANL!B:D,3,0)</f>
        <v>232084.375</v>
      </c>
      <c r="M245" s="801">
        <f>L245*H245</f>
        <v>4409603.125</v>
      </c>
    </row>
    <row r="246" spans="2:13" ht="15.6" outlineLevel="2">
      <c r="B246" s="793"/>
      <c r="C246" s="848"/>
      <c r="D246" s="850">
        <v>2</v>
      </c>
      <c r="E246" s="845" t="s">
        <v>842</v>
      </c>
      <c r="F246" s="795"/>
      <c r="G246" s="796"/>
      <c r="H246" s="797">
        <f>F!R39</f>
        <v>19</v>
      </c>
      <c r="I246" s="798" t="str">
        <f>F!S39</f>
        <v>Unit</v>
      </c>
      <c r="J246" s="798" t="s">
        <v>613</v>
      </c>
      <c r="K246" s="804" t="str">
        <f>VLOOKUP(J246,RKPANL!B:D,2,0)</f>
        <v>Pasang 1 buah Lampu LED 7 watt + Fitting Down Light</v>
      </c>
      <c r="L246" s="800">
        <f>VLOOKUP(J246,RKPANL!B:D,3,0)</f>
        <v>121813.75</v>
      </c>
      <c r="M246" s="801">
        <f>L246*H246</f>
        <v>2314461.25</v>
      </c>
    </row>
    <row r="247" spans="2:13" ht="15.6" outlineLevel="2">
      <c r="B247" s="793"/>
      <c r="C247" s="848"/>
      <c r="D247" s="794"/>
      <c r="E247" s="795"/>
      <c r="F247" s="795"/>
      <c r="G247" s="796"/>
      <c r="H247" s="797"/>
      <c r="I247" s="798"/>
      <c r="J247" s="798"/>
      <c r="K247" s="804"/>
      <c r="L247" s="800"/>
      <c r="M247" s="801"/>
    </row>
    <row r="248" spans="2:13" ht="15.6" outlineLevel="2">
      <c r="B248" s="793"/>
      <c r="C248" s="848" t="s">
        <v>18</v>
      </c>
      <c r="D248" s="696" t="s">
        <v>467</v>
      </c>
      <c r="E248" s="849"/>
      <c r="F248" s="795"/>
      <c r="G248" s="817"/>
      <c r="H248" s="797"/>
      <c r="I248" s="798"/>
      <c r="J248" s="798"/>
      <c r="K248" s="804"/>
      <c r="L248" s="800"/>
      <c r="M248" s="801"/>
    </row>
    <row r="249" spans="2:13" ht="15.6" outlineLevel="2">
      <c r="B249" s="793"/>
      <c r="C249" s="848"/>
      <c r="D249" s="794">
        <v>1</v>
      </c>
      <c r="E249" s="845" t="s">
        <v>416</v>
      </c>
      <c r="F249" s="795"/>
      <c r="G249" s="817"/>
      <c r="H249" s="797">
        <f>F!R43</f>
        <v>9</v>
      </c>
      <c r="I249" s="798" t="str">
        <f>F!S43</f>
        <v>Unit</v>
      </c>
      <c r="J249" s="798" t="s">
        <v>753</v>
      </c>
      <c r="K249" s="804" t="str">
        <f>VLOOKUP(J249,RKPANL!B:D,2,0)</f>
        <v>Pemasangan 1 buah kran diameter ½” atau ¾ ”</v>
      </c>
      <c r="L249" s="800">
        <f>VLOOKUP(J249,RKPANL!B:D,3,0)</f>
        <v>141881.25</v>
      </c>
      <c r="M249" s="801">
        <f>L249*H249</f>
        <v>1276931.25</v>
      </c>
    </row>
    <row r="250" spans="2:13" ht="15.6" outlineLevel="2">
      <c r="B250" s="793"/>
      <c r="C250" s="848"/>
      <c r="D250" s="794">
        <v>2</v>
      </c>
      <c r="E250" s="845" t="s">
        <v>517</v>
      </c>
      <c r="F250" s="795"/>
      <c r="G250" s="817"/>
      <c r="H250" s="797">
        <f>F!R44</f>
        <v>8</v>
      </c>
      <c r="I250" s="798" t="str">
        <f>F!S44</f>
        <v>Unit</v>
      </c>
      <c r="J250" s="798" t="s">
        <v>845</v>
      </c>
      <c r="K250" s="804" t="str">
        <f>VLOOKUP(J250,RKPANL!B:D,2,0)</f>
        <v>Pemasangan 1 buah Push Kran Urinoir</v>
      </c>
      <c r="L250" s="800">
        <f>VLOOKUP(J250,RKPANL!B:D,3,0)</f>
        <v>311448.75</v>
      </c>
      <c r="M250" s="801">
        <f>L250*H250</f>
        <v>2491590</v>
      </c>
    </row>
    <row r="251" spans="2:13" ht="15.6" outlineLevel="2">
      <c r="B251" s="793"/>
      <c r="C251" s="848"/>
      <c r="D251" s="794">
        <v>3</v>
      </c>
      <c r="E251" s="846" t="s">
        <v>418</v>
      </c>
      <c r="F251" s="795"/>
      <c r="G251" s="817"/>
      <c r="H251" s="797">
        <f>F!R45</f>
        <v>9</v>
      </c>
      <c r="I251" s="798" t="str">
        <f>F!S45</f>
        <v>Unit</v>
      </c>
      <c r="J251" s="798" t="s">
        <v>750</v>
      </c>
      <c r="K251" s="804" t="str">
        <f>VLOOKUP(J251,RKPANL!B:D,2,0)</f>
        <v>Pemasangan 1 buah floor drain</v>
      </c>
      <c r="L251" s="800">
        <f>VLOOKUP(J251,RKPANL!B:D,3,0)</f>
        <v>161028.75</v>
      </c>
      <c r="M251" s="801">
        <f>L251*H251</f>
        <v>1449258.75</v>
      </c>
    </row>
    <row r="252" spans="2:13" ht="15.6" outlineLevel="2">
      <c r="B252" s="851"/>
      <c r="C252" s="848"/>
      <c r="D252" s="794"/>
      <c r="E252" s="794"/>
      <c r="F252" s="795"/>
      <c r="G252" s="817"/>
      <c r="H252" s="797"/>
      <c r="I252" s="852"/>
      <c r="J252" s="798"/>
      <c r="K252" s="804"/>
      <c r="L252" s="800"/>
      <c r="M252" s="801"/>
    </row>
    <row r="253" spans="2:13" ht="15.6" outlineLevel="2">
      <c r="B253" s="793"/>
      <c r="C253" s="848" t="s">
        <v>19</v>
      </c>
      <c r="D253" s="696" t="s">
        <v>634</v>
      </c>
      <c r="E253" s="849"/>
      <c r="F253" s="795"/>
      <c r="G253" s="817"/>
      <c r="H253" s="797"/>
      <c r="I253" s="798"/>
      <c r="J253" s="798"/>
      <c r="K253" s="804"/>
      <c r="L253" s="800"/>
      <c r="M253" s="801"/>
    </row>
    <row r="254" spans="2:13" ht="15.6" outlineLevel="2">
      <c r="B254" s="793"/>
      <c r="C254" s="848"/>
      <c r="D254" s="794">
        <v>1</v>
      </c>
      <c r="E254" s="846" t="s">
        <v>628</v>
      </c>
      <c r="F254" s="795"/>
      <c r="G254" s="817"/>
      <c r="H254" s="797">
        <v>30</v>
      </c>
      <c r="I254" s="798" t="s">
        <v>21</v>
      </c>
      <c r="J254" s="798" t="s">
        <v>284</v>
      </c>
      <c r="K254" s="804" t="str">
        <f>VLOOKUP(J254,RKPANL!B:D,2,0)</f>
        <v>Pemasangan 1 m’ pipa PVC tipe AW diameter ½ ”</v>
      </c>
      <c r="L254" s="800">
        <f>VLOOKUP(J254,RKPANL!B:D,3,0)</f>
        <v>41465.166666666672</v>
      </c>
      <c r="M254" s="801">
        <f t="shared" ref="M254:M259" si="9">L254*H254</f>
        <v>1243955.0000000002</v>
      </c>
    </row>
    <row r="255" spans="2:13" ht="15.6" outlineLevel="2">
      <c r="B255" s="793"/>
      <c r="C255" s="848"/>
      <c r="D255" s="794">
        <v>2</v>
      </c>
      <c r="E255" s="846" t="s">
        <v>629</v>
      </c>
      <c r="F255" s="795"/>
      <c r="G255" s="817"/>
      <c r="H255" s="797">
        <v>24</v>
      </c>
      <c r="I255" s="798" t="s">
        <v>21</v>
      </c>
      <c r="J255" s="798" t="s">
        <v>690</v>
      </c>
      <c r="K255" s="804" t="str">
        <f>VLOOKUP(J255,RKPANL!B:D,2,0)</f>
        <v>Pemasangan 1 m’ pipa PVC tipe AW diameter 3/4 ”</v>
      </c>
      <c r="L255" s="800">
        <f>VLOOKUP(J255,RKPANL!B:D,3,0)</f>
        <v>32552.666666666664</v>
      </c>
      <c r="M255" s="801">
        <f t="shared" si="9"/>
        <v>781264</v>
      </c>
    </row>
    <row r="256" spans="2:13" ht="15.6" outlineLevel="2">
      <c r="B256" s="793"/>
      <c r="C256" s="848"/>
      <c r="D256" s="794">
        <v>3</v>
      </c>
      <c r="E256" s="846" t="s">
        <v>630</v>
      </c>
      <c r="F256" s="795"/>
      <c r="G256" s="817"/>
      <c r="H256" s="797">
        <v>24</v>
      </c>
      <c r="I256" s="798" t="s">
        <v>21</v>
      </c>
      <c r="J256" s="798" t="s">
        <v>691</v>
      </c>
      <c r="K256" s="804" t="str">
        <f>VLOOKUP(J256,RKPANL!B:D,2,0)</f>
        <v>Pemasangan 1 m’ pipa PVC tipe AW diameter 1”</v>
      </c>
      <c r="L256" s="800">
        <f>VLOOKUP(J256,RKPANL!B:D,3,0)</f>
        <v>44372.75</v>
      </c>
      <c r="M256" s="801">
        <f t="shared" si="9"/>
        <v>1064946</v>
      </c>
    </row>
    <row r="257" spans="2:14" ht="15.6" outlineLevel="2">
      <c r="B257" s="793"/>
      <c r="C257" s="848"/>
      <c r="D257" s="794">
        <v>4</v>
      </c>
      <c r="E257" s="846" t="s">
        <v>631</v>
      </c>
      <c r="F257" s="795"/>
      <c r="G257" s="817"/>
      <c r="H257" s="797">
        <v>24</v>
      </c>
      <c r="I257" s="798" t="s">
        <v>21</v>
      </c>
      <c r="J257" s="798" t="s">
        <v>692</v>
      </c>
      <c r="K257" s="804" t="str">
        <f>VLOOKUP(J257,RKPANL!B:D,2,0)</f>
        <v>Pemasangan 1 m’ pipa PVC tipe AW diameter 1 ½ ”</v>
      </c>
      <c r="L257" s="800">
        <f>VLOOKUP(J257,RKPANL!B:D,3,0)</f>
        <v>50314.416666666672</v>
      </c>
      <c r="M257" s="801">
        <f t="shared" si="9"/>
        <v>1207546</v>
      </c>
    </row>
    <row r="258" spans="2:14" ht="15.6" outlineLevel="2">
      <c r="B258" s="793"/>
      <c r="C258" s="848"/>
      <c r="D258" s="794">
        <v>5</v>
      </c>
      <c r="E258" s="846" t="s">
        <v>632</v>
      </c>
      <c r="F258" s="795"/>
      <c r="G258" s="817"/>
      <c r="H258" s="797">
        <v>12</v>
      </c>
      <c r="I258" s="798" t="s">
        <v>21</v>
      </c>
      <c r="J258" s="798" t="s">
        <v>693</v>
      </c>
      <c r="K258" s="804" t="str">
        <f>VLOOKUP(J258,RKPANL!B:D,2,0)</f>
        <v>Pemasangan 1 m’ pipa PVC tipe AW diameter 2”</v>
      </c>
      <c r="L258" s="800">
        <f>VLOOKUP(J258,RKPANL!B:D,3,0)</f>
        <v>71110.25</v>
      </c>
      <c r="M258" s="801">
        <f t="shared" si="9"/>
        <v>853323</v>
      </c>
    </row>
    <row r="259" spans="2:14" ht="15.6" outlineLevel="2">
      <c r="B259" s="793"/>
      <c r="C259" s="848"/>
      <c r="D259" s="794">
        <v>6</v>
      </c>
      <c r="E259" s="846" t="s">
        <v>633</v>
      </c>
      <c r="F259" s="795"/>
      <c r="G259" s="817"/>
      <c r="H259" s="797">
        <v>12</v>
      </c>
      <c r="I259" s="798" t="s">
        <v>21</v>
      </c>
      <c r="J259" s="798" t="s">
        <v>766</v>
      </c>
      <c r="K259" s="804" t="str">
        <f>VLOOKUP(J259,RKPANL!B:D,2,0)</f>
        <v>Pemasangan 1 m’ pipa PVC tipe AW diameter 3”</v>
      </c>
      <c r="L259" s="800">
        <f>VLOOKUP(J259,RKPANL!B:D,3,0)</f>
        <v>100818.58333333333</v>
      </c>
      <c r="M259" s="801">
        <f t="shared" si="9"/>
        <v>1209823</v>
      </c>
    </row>
    <row r="260" spans="2:14" ht="15.6" outlineLevel="2">
      <c r="B260" s="851"/>
      <c r="C260" s="848"/>
      <c r="D260" s="794"/>
      <c r="E260" s="794"/>
      <c r="F260" s="795"/>
      <c r="G260" s="817"/>
      <c r="H260" s="797"/>
      <c r="I260" s="852"/>
      <c r="J260" s="798"/>
      <c r="K260" s="804"/>
      <c r="L260" s="800"/>
      <c r="M260" s="801"/>
      <c r="N260" s="879"/>
    </row>
    <row r="261" spans="2:14" ht="15.6" outlineLevel="2">
      <c r="B261" s="793"/>
      <c r="C261" s="848" t="s">
        <v>404</v>
      </c>
      <c r="D261" s="696" t="s">
        <v>419</v>
      </c>
      <c r="E261" s="849"/>
      <c r="F261" s="795"/>
      <c r="G261" s="817"/>
      <c r="H261" s="797"/>
      <c r="I261" s="798"/>
      <c r="J261" s="798"/>
      <c r="K261" s="804"/>
      <c r="L261" s="800"/>
      <c r="M261" s="801"/>
    </row>
    <row r="262" spans="2:14" ht="15.6" outlineLevel="2">
      <c r="B262" s="793"/>
      <c r="C262" s="848"/>
      <c r="D262" s="794">
        <v>1</v>
      </c>
      <c r="E262" s="846" t="s">
        <v>907</v>
      </c>
      <c r="F262" s="795"/>
      <c r="G262" s="817"/>
      <c r="H262" s="797">
        <f>F!R48</f>
        <v>2</v>
      </c>
      <c r="I262" s="798" t="str">
        <f>F!S48</f>
        <v>Unit</v>
      </c>
      <c r="J262" s="798" t="s">
        <v>253</v>
      </c>
      <c r="K262" s="804" t="str">
        <f>VLOOKUP(J262,RKPANL!B:D,2,0)</f>
        <v>Memasang 1 bh kunci tanam</v>
      </c>
      <c r="L262" s="800">
        <f>VLOOKUP(J262,RKPANL!B:D,3,0)</f>
        <v>305698.75</v>
      </c>
      <c r="M262" s="801">
        <f>L262*H262</f>
        <v>611397.5</v>
      </c>
    </row>
    <row r="263" spans="2:14" ht="15.6" outlineLevel="2">
      <c r="B263" s="793"/>
      <c r="C263" s="848"/>
      <c r="D263" s="794">
        <v>2</v>
      </c>
      <c r="E263" s="846" t="s">
        <v>908</v>
      </c>
      <c r="F263" s="795"/>
      <c r="G263" s="817"/>
      <c r="H263" s="797">
        <f>F!R49</f>
        <v>9</v>
      </c>
      <c r="I263" s="798" t="str">
        <f>F!S49</f>
        <v>Unit</v>
      </c>
      <c r="J263" s="798" t="s">
        <v>660</v>
      </c>
      <c r="K263" s="804" t="str">
        <f>VLOOKUP(J263,RKPANL!B:D,2,0)</f>
        <v>Memasang 1 bh Pintu Aluminium Uk. 70x200 cm</v>
      </c>
      <c r="L263" s="800">
        <f>VLOOKUP(J263,RKPANL!B:D,3,0)</f>
        <v>1414068.75</v>
      </c>
      <c r="M263" s="801">
        <f>L263*H263</f>
        <v>12726618.75</v>
      </c>
    </row>
    <row r="264" spans="2:14" ht="15.6" outlineLevel="2">
      <c r="B264" s="793"/>
      <c r="C264" s="848"/>
      <c r="D264" s="794"/>
      <c r="E264" s="795"/>
      <c r="F264" s="795"/>
      <c r="G264" s="796"/>
      <c r="H264" s="797"/>
      <c r="I264" s="798"/>
      <c r="J264" s="798"/>
      <c r="K264" s="841"/>
      <c r="L264" s="800"/>
      <c r="M264" s="801"/>
    </row>
    <row r="265" spans="2:14" ht="15.6" outlineLevel="2">
      <c r="B265" s="793"/>
      <c r="C265" s="848" t="s">
        <v>560</v>
      </c>
      <c r="D265" s="696" t="s">
        <v>422</v>
      </c>
      <c r="E265" s="849"/>
      <c r="F265" s="795"/>
      <c r="G265" s="817"/>
      <c r="H265" s="797"/>
      <c r="I265" s="798"/>
      <c r="J265" s="798"/>
      <c r="K265" s="804"/>
      <c r="L265" s="800"/>
      <c r="M265" s="801"/>
    </row>
    <row r="266" spans="2:14" ht="15.6" outlineLevel="2">
      <c r="B266" s="793"/>
      <c r="C266" s="802"/>
      <c r="D266" s="850">
        <v>1</v>
      </c>
      <c r="E266" s="845" t="s">
        <v>920</v>
      </c>
      <c r="F266" s="795"/>
      <c r="G266" s="817"/>
      <c r="H266" s="797">
        <f>F!R52</f>
        <v>82.07</v>
      </c>
      <c r="I266" s="798" t="str">
        <f>F!S52</f>
        <v>M2</v>
      </c>
      <c r="J266" s="798" t="s">
        <v>611</v>
      </c>
      <c r="K266" s="804" t="str">
        <f>VLOOKUP(J266,RKPANL!B:D,2,0)</f>
        <v>Pengecatan 1 m2 Tembok Lama (1 Lapis Cat Dasar, 2 Lapis Cat 
Penutup) 
lapis cat penutup)</v>
      </c>
      <c r="L266" s="800">
        <f>VLOOKUP(J266,RKPANL!B:D,3,0)</f>
        <v>43204.35</v>
      </c>
      <c r="M266" s="801">
        <f>L266*H266</f>
        <v>3545781.0044999998</v>
      </c>
    </row>
    <row r="267" spans="2:14" ht="15.6" outlineLevel="2">
      <c r="B267" s="793"/>
      <c r="C267" s="802"/>
      <c r="D267" s="850">
        <v>2</v>
      </c>
      <c r="E267" s="845" t="s">
        <v>445</v>
      </c>
      <c r="F267" s="795"/>
      <c r="G267" s="817"/>
      <c r="H267" s="797">
        <f>H240</f>
        <v>22.545000000000002</v>
      </c>
      <c r="I267" s="798" t="s">
        <v>133</v>
      </c>
      <c r="J267" s="798" t="s">
        <v>139</v>
      </c>
      <c r="K267" s="804" t="str">
        <f>VLOOKUP(J267,RKPANL!B:D,2,0)</f>
        <v>Pengecatan 1 m2 tembok baru (1 lapis plamuur, 1 lapis cat dasar, 2
lapis cat penutup)</v>
      </c>
      <c r="L267" s="800">
        <f>VLOOKUP(J267,RKPANL!B:D,3,0)</f>
        <v>55114.9</v>
      </c>
      <c r="M267" s="801">
        <f>L267*H267</f>
        <v>1242565.4205000002</v>
      </c>
    </row>
    <row r="268" spans="2:14" outlineLevel="2">
      <c r="B268" s="793"/>
      <c r="C268" s="802"/>
      <c r="D268" s="794"/>
      <c r="E268" s="795"/>
      <c r="F268" s="795"/>
      <c r="G268" s="796"/>
      <c r="H268" s="797"/>
      <c r="I268" s="798"/>
      <c r="J268" s="798"/>
      <c r="K268" s="841"/>
      <c r="L268" s="800"/>
      <c r="M268" s="801"/>
    </row>
    <row r="269" spans="2:14" ht="15.6" outlineLevel="1">
      <c r="B269" s="842"/>
      <c r="C269" s="843"/>
      <c r="D269" s="853"/>
      <c r="E269" s="843"/>
      <c r="F269" s="843"/>
      <c r="G269" s="843"/>
      <c r="H269" s="809"/>
      <c r="I269" s="843"/>
      <c r="J269" s="843"/>
      <c r="K269" s="844"/>
      <c r="L269" s="883" t="s">
        <v>833</v>
      </c>
      <c r="M269" s="810">
        <f>SUM(M234:M268)</f>
        <v>56349857.412500001</v>
      </c>
    </row>
    <row r="270" spans="2:14" ht="15.6" outlineLevel="1">
      <c r="B270" s="880"/>
      <c r="C270" s="881" t="s">
        <v>816</v>
      </c>
      <c r="D270" s="696" t="s">
        <v>369</v>
      </c>
      <c r="E270" s="875"/>
      <c r="F270" s="795"/>
      <c r="G270" s="796"/>
      <c r="H270" s="797"/>
      <c r="I270" s="798"/>
      <c r="J270" s="798"/>
      <c r="K270" s="895"/>
      <c r="L270" s="877"/>
      <c r="M270" s="878"/>
    </row>
    <row r="271" spans="2:14" ht="15.6" outlineLevel="2">
      <c r="B271" s="793"/>
      <c r="C271" s="848" t="s">
        <v>2</v>
      </c>
      <c r="D271" s="696" t="s">
        <v>349</v>
      </c>
      <c r="E271" s="849"/>
      <c r="F271" s="795"/>
      <c r="G271" s="796"/>
      <c r="H271" s="797"/>
      <c r="I271" s="798"/>
      <c r="J271" s="798"/>
      <c r="K271" s="804"/>
      <c r="L271" s="800"/>
      <c r="M271" s="801"/>
      <c r="N271" s="884"/>
    </row>
    <row r="272" spans="2:14" ht="15.6" outlineLevel="2">
      <c r="B272" s="793"/>
      <c r="C272" s="848"/>
      <c r="D272" s="794">
        <v>1</v>
      </c>
      <c r="E272" s="795" t="s">
        <v>899</v>
      </c>
      <c r="F272" s="795"/>
      <c r="G272" s="796"/>
      <c r="H272" s="797">
        <f>F!R59</f>
        <v>1</v>
      </c>
      <c r="I272" s="798" t="str">
        <f>F!S59</f>
        <v>Ls</v>
      </c>
      <c r="J272" s="798" t="s">
        <v>73</v>
      </c>
      <c r="K272" s="804" t="e">
        <f>VLOOKUP(J272,RKPANL!B:D,2,0)</f>
        <v>#N/A</v>
      </c>
      <c r="L272" s="800">
        <v>2000000</v>
      </c>
      <c r="M272" s="801">
        <f>L272*H272</f>
        <v>2000000</v>
      </c>
    </row>
    <row r="273" spans="2:13" ht="15.6" outlineLevel="2">
      <c r="B273" s="793"/>
      <c r="C273" s="848"/>
      <c r="D273" s="794">
        <v>2</v>
      </c>
      <c r="E273" s="795" t="s">
        <v>415</v>
      </c>
      <c r="F273" s="795"/>
      <c r="G273" s="796"/>
      <c r="H273" s="797">
        <f>F!R60</f>
        <v>1</v>
      </c>
      <c r="I273" s="798" t="str">
        <f>F!S60</f>
        <v>Ls</v>
      </c>
      <c r="J273" s="798" t="s">
        <v>73</v>
      </c>
      <c r="K273" s="804" t="e">
        <f>VLOOKUP(J273,RKPANL!B:D,2,0)</f>
        <v>#N/A</v>
      </c>
      <c r="L273" s="800">
        <v>1500000</v>
      </c>
      <c r="M273" s="801">
        <f>L273*H273</f>
        <v>1500000</v>
      </c>
    </row>
    <row r="274" spans="2:13" ht="15.6" outlineLevel="2">
      <c r="B274" s="793"/>
      <c r="C274" s="848"/>
      <c r="D274" s="794"/>
      <c r="E274" s="812"/>
      <c r="F274" s="795"/>
      <c r="G274" s="796"/>
      <c r="H274" s="797"/>
      <c r="I274" s="798"/>
      <c r="J274" s="798"/>
      <c r="K274" s="804"/>
      <c r="L274" s="800"/>
      <c r="M274" s="801"/>
    </row>
    <row r="275" spans="2:13" ht="15.6" outlineLevel="2">
      <c r="B275" s="793"/>
      <c r="C275" s="848" t="s">
        <v>16</v>
      </c>
      <c r="D275" s="696" t="s">
        <v>400</v>
      </c>
      <c r="E275" s="849"/>
      <c r="F275" s="795"/>
      <c r="G275" s="796"/>
      <c r="H275" s="797"/>
      <c r="I275" s="798"/>
      <c r="J275" s="798"/>
      <c r="K275" s="804"/>
      <c r="L275" s="800"/>
      <c r="M275" s="801"/>
    </row>
    <row r="276" spans="2:13" ht="15.6" outlineLevel="2">
      <c r="B276" s="793"/>
      <c r="C276" s="848"/>
      <c r="D276" s="794">
        <v>1</v>
      </c>
      <c r="E276" s="795" t="s">
        <v>890</v>
      </c>
      <c r="F276" s="795"/>
      <c r="G276" s="796"/>
      <c r="H276" s="797">
        <f>F!R63</f>
        <v>60.45</v>
      </c>
      <c r="I276" s="798" t="str">
        <f>F!S63</f>
        <v>M2</v>
      </c>
      <c r="J276" s="798" t="s">
        <v>689</v>
      </c>
      <c r="K276" s="804" t="str">
        <f>VLOOKUP(J276,RKPANL!B:D,2,0)</f>
        <v>Pemasangan 1m2 lantai keramik ukuran 40cm x 40cm</v>
      </c>
      <c r="L276" s="800">
        <f>VLOOKUP(J276,RKPANL!B:D,3,0)</f>
        <v>309005</v>
      </c>
      <c r="M276" s="801">
        <f>L276*H276</f>
        <v>18679352.25</v>
      </c>
    </row>
    <row r="277" spans="2:13" ht="15.6" outlineLevel="2">
      <c r="B277" s="793"/>
      <c r="C277" s="848"/>
      <c r="D277" s="794">
        <v>2</v>
      </c>
      <c r="E277" s="795" t="s">
        <v>421</v>
      </c>
      <c r="F277" s="795"/>
      <c r="G277" s="796"/>
      <c r="H277" s="797">
        <f>F!R74</f>
        <v>15</v>
      </c>
      <c r="I277" s="798" t="str">
        <f>F!S74</f>
        <v>M2</v>
      </c>
      <c r="J277" s="798" t="s">
        <v>688</v>
      </c>
      <c r="K277" s="804" t="str">
        <f>VLOOKUP(J277,RKPANL!B:D,2,0)</f>
        <v>Pemasangan 1 m2 dinding keramik uk 20 cm x 40 cm</v>
      </c>
      <c r="L277" s="800">
        <f>VLOOKUP(J277,RKPANL!B:D,3,0)</f>
        <v>371622.5</v>
      </c>
      <c r="M277" s="801">
        <f>L277*H277</f>
        <v>5574337.5</v>
      </c>
    </row>
    <row r="278" spans="2:13" ht="15.6" outlineLevel="2">
      <c r="B278" s="793"/>
      <c r="C278" s="848"/>
      <c r="D278" s="794">
        <v>3</v>
      </c>
      <c r="E278" s="795" t="s">
        <v>481</v>
      </c>
      <c r="F278" s="795"/>
      <c r="G278" s="796"/>
      <c r="H278" s="797">
        <f>F!R78</f>
        <v>60.45</v>
      </c>
      <c r="I278" s="798" t="str">
        <f>F!S78</f>
        <v>M2</v>
      </c>
      <c r="J278" s="798" t="s">
        <v>621</v>
      </c>
      <c r="K278" s="804" t="str">
        <f>VLOOKUP(J278,RKPANL!B:D,2,0)</f>
        <v>Pemasangan 1 m2 waterproofing onducoat PA 
campuran 1SP :4PP</v>
      </c>
      <c r="L278" s="800">
        <f>VLOOKUP(J278,RKPANL!B:D,3,0)</f>
        <v>172097.5</v>
      </c>
      <c r="M278" s="801">
        <f>L278*H278</f>
        <v>10403293.875</v>
      </c>
    </row>
    <row r="279" spans="2:13" ht="15.6" outlineLevel="2">
      <c r="B279" s="793"/>
      <c r="C279" s="848"/>
      <c r="D279" s="794"/>
      <c r="E279" s="795"/>
      <c r="F279" s="795"/>
      <c r="G279" s="796"/>
      <c r="H279" s="797"/>
      <c r="I279" s="798"/>
      <c r="J279" s="798"/>
      <c r="K279" s="804"/>
      <c r="L279" s="800"/>
      <c r="M279" s="801"/>
    </row>
    <row r="280" spans="2:13" ht="15.6" outlineLevel="2">
      <c r="B280" s="793"/>
      <c r="C280" s="848" t="s">
        <v>17</v>
      </c>
      <c r="D280" s="696" t="s">
        <v>353</v>
      </c>
      <c r="E280" s="849"/>
      <c r="F280" s="795"/>
      <c r="G280" s="796"/>
      <c r="H280" s="797"/>
      <c r="I280" s="798"/>
      <c r="J280" s="798"/>
      <c r="K280" s="804"/>
      <c r="L280" s="800"/>
      <c r="M280" s="801"/>
    </row>
    <row r="281" spans="2:13" ht="15.6" outlineLevel="2">
      <c r="B281" s="793"/>
      <c r="C281" s="848"/>
      <c r="D281" s="850">
        <v>1</v>
      </c>
      <c r="E281" s="845" t="s">
        <v>900</v>
      </c>
      <c r="F281" s="795"/>
      <c r="G281" s="796"/>
      <c r="H281" s="797">
        <f>H282</f>
        <v>19</v>
      </c>
      <c r="I281" s="798" t="s">
        <v>879</v>
      </c>
      <c r="J281" s="798" t="s">
        <v>290</v>
      </c>
      <c r="K281" s="804" t="str">
        <f>VLOOKUP(J281,RKPANL!B:D,2,0)</f>
        <v>Pasang 1 Titik Instalasi Penerangan dan Stop Kontak dengan Kabel NYA 2x2,5 mm</v>
      </c>
      <c r="L281" s="800">
        <f>VLOOKUP(J281,RKPANL!B:D,3,0)</f>
        <v>232084.375</v>
      </c>
      <c r="M281" s="801">
        <f>L281*H281</f>
        <v>4409603.125</v>
      </c>
    </row>
    <row r="282" spans="2:13" ht="15.6" outlineLevel="2">
      <c r="B282" s="793"/>
      <c r="C282" s="848"/>
      <c r="D282" s="850">
        <v>2</v>
      </c>
      <c r="E282" s="845" t="s">
        <v>842</v>
      </c>
      <c r="F282" s="795"/>
      <c r="G282" s="796"/>
      <c r="H282" s="797">
        <f>F!R82</f>
        <v>19</v>
      </c>
      <c r="I282" s="798" t="str">
        <f>F!S82</f>
        <v>Unit</v>
      </c>
      <c r="J282" s="798" t="s">
        <v>613</v>
      </c>
      <c r="K282" s="804" t="str">
        <f>VLOOKUP(J282,RKPANL!B:D,2,0)</f>
        <v>Pasang 1 buah Lampu LED 7 watt + Fitting Down Light</v>
      </c>
      <c r="L282" s="800">
        <f>VLOOKUP(J282,RKPANL!B:D,3,0)</f>
        <v>121813.75</v>
      </c>
      <c r="M282" s="801">
        <f>L282*H282</f>
        <v>2314461.25</v>
      </c>
    </row>
    <row r="283" spans="2:13" ht="15.6" outlineLevel="2">
      <c r="B283" s="793"/>
      <c r="C283" s="848"/>
      <c r="D283" s="794"/>
      <c r="E283" s="795"/>
      <c r="F283" s="795"/>
      <c r="G283" s="796"/>
      <c r="H283" s="797"/>
      <c r="I283" s="798"/>
      <c r="J283" s="798"/>
      <c r="K283" s="804"/>
      <c r="L283" s="800"/>
      <c r="M283" s="801"/>
    </row>
    <row r="284" spans="2:13" ht="15.6" outlineLevel="2">
      <c r="B284" s="793"/>
      <c r="C284" s="848" t="s">
        <v>18</v>
      </c>
      <c r="D284" s="696" t="s">
        <v>467</v>
      </c>
      <c r="E284" s="849"/>
      <c r="F284" s="795"/>
      <c r="G284" s="817"/>
      <c r="H284" s="797"/>
      <c r="I284" s="798"/>
      <c r="J284" s="798"/>
      <c r="K284" s="804"/>
      <c r="L284" s="800"/>
      <c r="M284" s="801"/>
    </row>
    <row r="285" spans="2:13" ht="15.6" outlineLevel="2">
      <c r="B285" s="793"/>
      <c r="C285" s="848"/>
      <c r="D285" s="794">
        <v>1</v>
      </c>
      <c r="E285" s="845" t="s">
        <v>416</v>
      </c>
      <c r="F285" s="795"/>
      <c r="G285" s="817"/>
      <c r="H285" s="797">
        <f>F!R86</f>
        <v>9</v>
      </c>
      <c r="I285" s="798" t="str">
        <f>F!S86</f>
        <v>Unit</v>
      </c>
      <c r="J285" s="798" t="s">
        <v>753</v>
      </c>
      <c r="K285" s="804" t="str">
        <f>VLOOKUP(J285,RKPANL!B:D,2,0)</f>
        <v>Pemasangan 1 buah kran diameter ½” atau ¾ ”</v>
      </c>
      <c r="L285" s="800">
        <f>VLOOKUP(J285,RKPANL!B:D,3,0)</f>
        <v>141881.25</v>
      </c>
      <c r="M285" s="801">
        <f>L285*H285</f>
        <v>1276931.25</v>
      </c>
    </row>
    <row r="286" spans="2:13" ht="15.6" outlineLevel="2">
      <c r="B286" s="793"/>
      <c r="C286" s="848"/>
      <c r="D286" s="794">
        <v>2</v>
      </c>
      <c r="E286" s="845" t="s">
        <v>517</v>
      </c>
      <c r="F286" s="795"/>
      <c r="G286" s="817"/>
      <c r="H286" s="797">
        <f>F!R86</f>
        <v>9</v>
      </c>
      <c r="I286" s="798" t="str">
        <f>F!S86</f>
        <v>Unit</v>
      </c>
      <c r="J286" s="798" t="s">
        <v>845</v>
      </c>
      <c r="K286" s="804" t="str">
        <f>VLOOKUP(J286,RKPANL!B:D,2,0)</f>
        <v>Pemasangan 1 buah Push Kran Urinoir</v>
      </c>
      <c r="L286" s="800">
        <f>VLOOKUP(J286,RKPANL!B:D,3,0)</f>
        <v>311448.75</v>
      </c>
      <c r="M286" s="801">
        <f>L286*H286</f>
        <v>2803038.75</v>
      </c>
    </row>
    <row r="287" spans="2:13" ht="15.6" outlineLevel="2">
      <c r="B287" s="793"/>
      <c r="C287" s="848"/>
      <c r="D287" s="794">
        <v>3</v>
      </c>
      <c r="E287" s="846" t="s">
        <v>418</v>
      </c>
      <c r="F287" s="795"/>
      <c r="G287" s="817"/>
      <c r="H287" s="797">
        <f>F!R88</f>
        <v>9</v>
      </c>
      <c r="I287" s="798" t="str">
        <f>F!S88</f>
        <v>Unit</v>
      </c>
      <c r="J287" s="798" t="s">
        <v>750</v>
      </c>
      <c r="K287" s="804" t="str">
        <f>VLOOKUP(J287,RKPANL!B:D,2,0)</f>
        <v>Pemasangan 1 buah floor drain</v>
      </c>
      <c r="L287" s="800">
        <f>VLOOKUP(J287,RKPANL!B:D,3,0)</f>
        <v>161028.75</v>
      </c>
      <c r="M287" s="801">
        <f>L287*H287</f>
        <v>1449258.75</v>
      </c>
    </row>
    <row r="288" spans="2:13" ht="15.6" outlineLevel="2">
      <c r="B288" s="851"/>
      <c r="C288" s="848"/>
      <c r="D288" s="794"/>
      <c r="E288" s="794"/>
      <c r="F288" s="795"/>
      <c r="G288" s="817"/>
      <c r="H288" s="797"/>
      <c r="I288" s="852"/>
      <c r="J288" s="798"/>
      <c r="K288" s="804"/>
      <c r="L288" s="800"/>
      <c r="M288" s="801"/>
    </row>
    <row r="289" spans="2:13" ht="15.6" outlineLevel="2">
      <c r="B289" s="793"/>
      <c r="C289" s="848" t="s">
        <v>19</v>
      </c>
      <c r="D289" s="696" t="s">
        <v>634</v>
      </c>
      <c r="E289" s="849"/>
      <c r="F289" s="795"/>
      <c r="G289" s="817"/>
      <c r="H289" s="797"/>
      <c r="I289" s="798"/>
      <c r="J289" s="798"/>
      <c r="K289" s="804"/>
      <c r="L289" s="800"/>
      <c r="M289" s="801"/>
    </row>
    <row r="290" spans="2:13" ht="15.6" outlineLevel="2">
      <c r="B290" s="793"/>
      <c r="C290" s="848"/>
      <c r="D290" s="794">
        <v>1</v>
      </c>
      <c r="E290" s="846" t="s">
        <v>628</v>
      </c>
      <c r="F290" s="795"/>
      <c r="G290" s="817"/>
      <c r="H290" s="797">
        <v>30</v>
      </c>
      <c r="I290" s="798" t="s">
        <v>21</v>
      </c>
      <c r="J290" s="798" t="s">
        <v>284</v>
      </c>
      <c r="K290" s="804" t="str">
        <f>VLOOKUP(J290,RKPANL!B:D,2,0)</f>
        <v>Pemasangan 1 m’ pipa PVC tipe AW diameter ½ ”</v>
      </c>
      <c r="L290" s="800">
        <f>VLOOKUP(J290,RKPANL!B:D,3,0)</f>
        <v>41465.166666666672</v>
      </c>
      <c r="M290" s="801">
        <f t="shared" ref="M290:M295" si="10">L290*H290</f>
        <v>1243955.0000000002</v>
      </c>
    </row>
    <row r="291" spans="2:13" ht="15.6" outlineLevel="2">
      <c r="B291" s="793"/>
      <c r="C291" s="848"/>
      <c r="D291" s="794">
        <v>2</v>
      </c>
      <c r="E291" s="846" t="s">
        <v>629</v>
      </c>
      <c r="F291" s="795"/>
      <c r="G291" s="817"/>
      <c r="H291" s="797">
        <v>24</v>
      </c>
      <c r="I291" s="798" t="s">
        <v>21</v>
      </c>
      <c r="J291" s="798" t="s">
        <v>690</v>
      </c>
      <c r="K291" s="804" t="str">
        <f>VLOOKUP(J291,RKPANL!B:D,2,0)</f>
        <v>Pemasangan 1 m’ pipa PVC tipe AW diameter 3/4 ”</v>
      </c>
      <c r="L291" s="800">
        <f>VLOOKUP(J291,RKPANL!B:D,3,0)</f>
        <v>32552.666666666664</v>
      </c>
      <c r="M291" s="801">
        <f t="shared" si="10"/>
        <v>781264</v>
      </c>
    </row>
    <row r="292" spans="2:13" ht="15.6" outlineLevel="2">
      <c r="B292" s="793"/>
      <c r="C292" s="848"/>
      <c r="D292" s="794">
        <v>3</v>
      </c>
      <c r="E292" s="846" t="s">
        <v>630</v>
      </c>
      <c r="F292" s="795"/>
      <c r="G292" s="817"/>
      <c r="H292" s="797">
        <v>24</v>
      </c>
      <c r="I292" s="798" t="s">
        <v>21</v>
      </c>
      <c r="J292" s="798" t="s">
        <v>691</v>
      </c>
      <c r="K292" s="804" t="str">
        <f>VLOOKUP(J292,RKPANL!B:D,2,0)</f>
        <v>Pemasangan 1 m’ pipa PVC tipe AW diameter 1”</v>
      </c>
      <c r="L292" s="800">
        <f>VLOOKUP(J292,RKPANL!B:D,3,0)</f>
        <v>44372.75</v>
      </c>
      <c r="M292" s="801">
        <f t="shared" si="10"/>
        <v>1064946</v>
      </c>
    </row>
    <row r="293" spans="2:13" ht="15.6" outlineLevel="2">
      <c r="B293" s="793"/>
      <c r="C293" s="848"/>
      <c r="D293" s="794">
        <v>4</v>
      </c>
      <c r="E293" s="846" t="s">
        <v>631</v>
      </c>
      <c r="F293" s="795"/>
      <c r="G293" s="817"/>
      <c r="H293" s="797">
        <v>24</v>
      </c>
      <c r="I293" s="798" t="s">
        <v>21</v>
      </c>
      <c r="J293" s="798" t="s">
        <v>692</v>
      </c>
      <c r="K293" s="804" t="str">
        <f>VLOOKUP(J293,RKPANL!B:D,2,0)</f>
        <v>Pemasangan 1 m’ pipa PVC tipe AW diameter 1 ½ ”</v>
      </c>
      <c r="L293" s="800">
        <f>VLOOKUP(J293,RKPANL!B:D,3,0)</f>
        <v>50314.416666666672</v>
      </c>
      <c r="M293" s="801">
        <f t="shared" si="10"/>
        <v>1207546</v>
      </c>
    </row>
    <row r="294" spans="2:13" ht="15.6" outlineLevel="2">
      <c r="B294" s="793"/>
      <c r="C294" s="848"/>
      <c r="D294" s="794">
        <v>5</v>
      </c>
      <c r="E294" s="846" t="s">
        <v>632</v>
      </c>
      <c r="F294" s="795"/>
      <c r="G294" s="817"/>
      <c r="H294" s="797">
        <v>12</v>
      </c>
      <c r="I294" s="798" t="s">
        <v>21</v>
      </c>
      <c r="J294" s="798" t="s">
        <v>693</v>
      </c>
      <c r="K294" s="804" t="str">
        <f>VLOOKUP(J294,RKPANL!B:D,2,0)</f>
        <v>Pemasangan 1 m’ pipa PVC tipe AW diameter 2”</v>
      </c>
      <c r="L294" s="800">
        <f>VLOOKUP(J294,RKPANL!B:D,3,0)</f>
        <v>71110.25</v>
      </c>
      <c r="M294" s="801">
        <f t="shared" si="10"/>
        <v>853323</v>
      </c>
    </row>
    <row r="295" spans="2:13" ht="15.6" outlineLevel="2">
      <c r="B295" s="793"/>
      <c r="C295" s="848"/>
      <c r="D295" s="794">
        <v>6</v>
      </c>
      <c r="E295" s="846" t="s">
        <v>633</v>
      </c>
      <c r="F295" s="795"/>
      <c r="G295" s="817"/>
      <c r="H295" s="797">
        <v>12</v>
      </c>
      <c r="I295" s="798" t="s">
        <v>21</v>
      </c>
      <c r="J295" s="798" t="s">
        <v>766</v>
      </c>
      <c r="K295" s="804" t="str">
        <f>VLOOKUP(J295,RKPANL!B:D,2,0)</f>
        <v>Pemasangan 1 m’ pipa PVC tipe AW diameter 3”</v>
      </c>
      <c r="L295" s="800">
        <f>VLOOKUP(J295,RKPANL!B:D,3,0)</f>
        <v>100818.58333333333</v>
      </c>
      <c r="M295" s="801">
        <f t="shared" si="10"/>
        <v>1209823</v>
      </c>
    </row>
    <row r="296" spans="2:13" ht="15.6" outlineLevel="2">
      <c r="B296" s="851"/>
      <c r="C296" s="848"/>
      <c r="D296" s="794"/>
      <c r="E296" s="794"/>
      <c r="F296" s="795"/>
      <c r="G296" s="817"/>
      <c r="H296" s="797"/>
      <c r="I296" s="852"/>
      <c r="J296" s="798"/>
      <c r="K296" s="804"/>
      <c r="L296" s="800"/>
      <c r="M296" s="801"/>
    </row>
    <row r="297" spans="2:13" ht="15.6" outlineLevel="2">
      <c r="B297" s="793"/>
      <c r="C297" s="848" t="s">
        <v>404</v>
      </c>
      <c r="D297" s="696" t="s">
        <v>419</v>
      </c>
      <c r="E297" s="849"/>
      <c r="F297" s="795"/>
      <c r="G297" s="817"/>
      <c r="H297" s="797"/>
      <c r="I297" s="798"/>
      <c r="J297" s="798"/>
      <c r="K297" s="804"/>
      <c r="L297" s="800"/>
      <c r="M297" s="801"/>
    </row>
    <row r="298" spans="2:13" ht="15.6" outlineLevel="2">
      <c r="B298" s="793"/>
      <c r="C298" s="848"/>
      <c r="D298" s="794">
        <v>1</v>
      </c>
      <c r="E298" s="846" t="s">
        <v>907</v>
      </c>
      <c r="F298" s="795"/>
      <c r="G298" s="817"/>
      <c r="H298" s="797">
        <f>F!R91</f>
        <v>2</v>
      </c>
      <c r="I298" s="798" t="str">
        <f>F!S91</f>
        <v>Unit</v>
      </c>
      <c r="J298" s="798" t="s">
        <v>253</v>
      </c>
      <c r="K298" s="804" t="str">
        <f>VLOOKUP(J298,RKPANL!B:D,2,0)</f>
        <v>Memasang 1 bh kunci tanam</v>
      </c>
      <c r="L298" s="800">
        <f>VLOOKUP(J298,RKPANL!B:D,3,0)</f>
        <v>305698.75</v>
      </c>
      <c r="M298" s="801">
        <f>L298*H298</f>
        <v>611397.5</v>
      </c>
    </row>
    <row r="299" spans="2:13" ht="15.6" outlineLevel="2">
      <c r="B299" s="793"/>
      <c r="C299" s="848"/>
      <c r="D299" s="794">
        <v>2</v>
      </c>
      <c r="E299" s="846" t="s">
        <v>908</v>
      </c>
      <c r="F299" s="795"/>
      <c r="G299" s="817"/>
      <c r="H299" s="797">
        <f>F!R92</f>
        <v>9</v>
      </c>
      <c r="I299" s="798" t="str">
        <f>F!S92</f>
        <v>Unit</v>
      </c>
      <c r="J299" s="798" t="s">
        <v>660</v>
      </c>
      <c r="K299" s="804" t="str">
        <f>VLOOKUP(J299,RKPANL!B:D,2,0)</f>
        <v>Memasang 1 bh Pintu Aluminium Uk. 70x200 cm</v>
      </c>
      <c r="L299" s="800">
        <f>VLOOKUP(J299,RKPANL!B:D,3,0)</f>
        <v>1414068.75</v>
      </c>
      <c r="M299" s="801">
        <f>L299*H299</f>
        <v>12726618.75</v>
      </c>
    </row>
    <row r="300" spans="2:13" ht="15.6" outlineLevel="2">
      <c r="B300" s="793"/>
      <c r="C300" s="848"/>
      <c r="D300" s="794"/>
      <c r="E300" s="795"/>
      <c r="F300" s="795"/>
      <c r="G300" s="796"/>
      <c r="H300" s="797"/>
      <c r="I300" s="798"/>
      <c r="J300" s="798"/>
      <c r="K300" s="841"/>
      <c r="L300" s="800"/>
      <c r="M300" s="801"/>
    </row>
    <row r="301" spans="2:13" ht="15.6" outlineLevel="2">
      <c r="B301" s="793"/>
      <c r="C301" s="848" t="s">
        <v>560</v>
      </c>
      <c r="D301" s="696" t="s">
        <v>422</v>
      </c>
      <c r="E301" s="849"/>
      <c r="F301" s="795"/>
      <c r="G301" s="817"/>
      <c r="H301" s="797"/>
      <c r="I301" s="798"/>
      <c r="J301" s="798"/>
      <c r="K301" s="804"/>
      <c r="L301" s="800"/>
      <c r="M301" s="801"/>
    </row>
    <row r="302" spans="2:13" ht="15.6" outlineLevel="2">
      <c r="B302" s="793"/>
      <c r="C302" s="802"/>
      <c r="D302" s="850">
        <v>1</v>
      </c>
      <c r="E302" s="845" t="s">
        <v>919</v>
      </c>
      <c r="F302" s="795"/>
      <c r="G302" s="817"/>
      <c r="H302" s="797">
        <f>F!R95</f>
        <v>82.07</v>
      </c>
      <c r="I302" s="798" t="str">
        <f>F!S95</f>
        <v>M2</v>
      </c>
      <c r="J302" s="798" t="s">
        <v>611</v>
      </c>
      <c r="K302" s="804" t="str">
        <f>VLOOKUP(J302,RKPANL!B:D,2,0)</f>
        <v>Pengecatan 1 m2 Tembok Lama (1 Lapis Cat Dasar, 2 Lapis Cat 
Penutup) 
lapis cat penutup)</v>
      </c>
      <c r="L302" s="800">
        <f>VLOOKUP(J302,RKPANL!B:D,3,0)</f>
        <v>43204.35</v>
      </c>
      <c r="M302" s="801">
        <f>L302*H302</f>
        <v>3545781.0044999998</v>
      </c>
    </row>
    <row r="303" spans="2:13" outlineLevel="2">
      <c r="B303" s="793"/>
      <c r="C303" s="802"/>
      <c r="D303" s="794"/>
      <c r="E303" s="795"/>
      <c r="F303" s="795"/>
      <c r="G303" s="796"/>
      <c r="H303" s="797"/>
      <c r="I303" s="798"/>
      <c r="J303" s="798"/>
      <c r="K303" s="841"/>
      <c r="L303" s="800"/>
      <c r="M303" s="801"/>
    </row>
    <row r="304" spans="2:13" ht="15.6" outlineLevel="1">
      <c r="B304" s="842"/>
      <c r="C304" s="843"/>
      <c r="D304" s="853"/>
      <c r="E304" s="843"/>
      <c r="F304" s="843"/>
      <c r="G304" s="843"/>
      <c r="H304" s="809"/>
      <c r="I304" s="843"/>
      <c r="J304" s="843"/>
      <c r="K304" s="844"/>
      <c r="L304" s="883" t="s">
        <v>834</v>
      </c>
      <c r="M304" s="810">
        <f>SUM(M272:M303)</f>
        <v>73654931.004500002</v>
      </c>
    </row>
    <row r="305" spans="2:14" ht="15.6" outlineLevel="1">
      <c r="B305" s="880"/>
      <c r="C305" s="881" t="s">
        <v>817</v>
      </c>
      <c r="D305" s="696" t="s">
        <v>370</v>
      </c>
      <c r="E305" s="875"/>
      <c r="F305" s="795"/>
      <c r="G305" s="796"/>
      <c r="H305" s="797"/>
      <c r="I305" s="798"/>
      <c r="J305" s="798"/>
      <c r="K305" s="895"/>
      <c r="L305" s="877"/>
      <c r="M305" s="878"/>
    </row>
    <row r="306" spans="2:14" ht="15.6" outlineLevel="2">
      <c r="B306" s="793"/>
      <c r="C306" s="848" t="s">
        <v>2</v>
      </c>
      <c r="D306" s="696" t="s">
        <v>349</v>
      </c>
      <c r="E306" s="849"/>
      <c r="F306" s="795"/>
      <c r="G306" s="796"/>
      <c r="H306" s="797"/>
      <c r="I306" s="798"/>
      <c r="J306" s="798"/>
      <c r="K306" s="804"/>
      <c r="L306" s="800"/>
      <c r="M306" s="801"/>
      <c r="N306" s="884"/>
    </row>
    <row r="307" spans="2:14" ht="15.6" outlineLevel="2">
      <c r="B307" s="793"/>
      <c r="C307" s="848"/>
      <c r="D307" s="794">
        <v>1</v>
      </c>
      <c r="E307" s="795" t="s">
        <v>899</v>
      </c>
      <c r="F307" s="795"/>
      <c r="G307" s="796"/>
      <c r="H307" s="797">
        <f>F!R102</f>
        <v>1</v>
      </c>
      <c r="I307" s="798" t="str">
        <f>F!S102</f>
        <v>Ls</v>
      </c>
      <c r="J307" s="798" t="s">
        <v>73</v>
      </c>
      <c r="K307" s="804" t="e">
        <f>VLOOKUP(J307,RKPANL!B:D,2,0)</f>
        <v>#N/A</v>
      </c>
      <c r="L307" s="800">
        <v>2000000</v>
      </c>
      <c r="M307" s="801">
        <f>L307*H307</f>
        <v>2000000</v>
      </c>
    </row>
    <row r="308" spans="2:14" ht="15.6" outlineLevel="2">
      <c r="B308" s="793"/>
      <c r="C308" s="848"/>
      <c r="D308" s="794">
        <v>2</v>
      </c>
      <c r="E308" s="795" t="s">
        <v>415</v>
      </c>
      <c r="F308" s="795"/>
      <c r="G308" s="796"/>
      <c r="H308" s="797">
        <f>F!R103</f>
        <v>1</v>
      </c>
      <c r="I308" s="798" t="str">
        <f>F!S103</f>
        <v>Ls</v>
      </c>
      <c r="J308" s="798" t="s">
        <v>73</v>
      </c>
      <c r="K308" s="804" t="e">
        <f>VLOOKUP(J308,RKPANL!B:D,2,0)</f>
        <v>#N/A</v>
      </c>
      <c r="L308" s="800">
        <v>1500000</v>
      </c>
      <c r="M308" s="801">
        <f>L308*H308</f>
        <v>1500000</v>
      </c>
    </row>
    <row r="309" spans="2:14" ht="15.6" outlineLevel="2">
      <c r="B309" s="793"/>
      <c r="C309" s="848"/>
      <c r="D309" s="794"/>
      <c r="E309" s="812"/>
      <c r="F309" s="795"/>
      <c r="G309" s="796"/>
      <c r="H309" s="797"/>
      <c r="I309" s="798"/>
      <c r="J309" s="798"/>
      <c r="K309" s="804"/>
      <c r="L309" s="800"/>
      <c r="M309" s="801"/>
    </row>
    <row r="310" spans="2:14" ht="15.6" outlineLevel="2">
      <c r="B310" s="793"/>
      <c r="C310" s="848" t="s">
        <v>16</v>
      </c>
      <c r="D310" s="696" t="s">
        <v>400</v>
      </c>
      <c r="E310" s="849"/>
      <c r="F310" s="795"/>
      <c r="G310" s="796"/>
      <c r="H310" s="797"/>
      <c r="I310" s="798"/>
      <c r="J310" s="798"/>
      <c r="K310" s="804"/>
      <c r="L310" s="800"/>
      <c r="M310" s="801"/>
    </row>
    <row r="311" spans="2:14" ht="15.6" outlineLevel="2">
      <c r="B311" s="793"/>
      <c r="C311" s="848"/>
      <c r="D311" s="794">
        <v>1</v>
      </c>
      <c r="E311" s="795" t="s">
        <v>890</v>
      </c>
      <c r="F311" s="795"/>
      <c r="G311" s="796"/>
      <c r="H311" s="797">
        <f>F!R106</f>
        <v>60.45</v>
      </c>
      <c r="I311" s="798" t="str">
        <f>F!S106</f>
        <v>M2</v>
      </c>
      <c r="J311" s="798" t="s">
        <v>689</v>
      </c>
      <c r="K311" s="804" t="str">
        <f>VLOOKUP(J311,RKPANL!B:D,2,0)</f>
        <v>Pemasangan 1m2 lantai keramik ukuran 40cm x 40cm</v>
      </c>
      <c r="L311" s="800">
        <f>VLOOKUP(J311,RKPANL!B:D,3,0)</f>
        <v>309005</v>
      </c>
      <c r="M311" s="801">
        <f>L311*H311</f>
        <v>18679352.25</v>
      </c>
    </row>
    <row r="312" spans="2:14" ht="15.6" outlineLevel="2">
      <c r="B312" s="793"/>
      <c r="C312" s="848"/>
      <c r="D312" s="794">
        <v>2</v>
      </c>
      <c r="E312" s="795" t="s">
        <v>421</v>
      </c>
      <c r="F312" s="795"/>
      <c r="G312" s="796"/>
      <c r="H312" s="797">
        <f>F!R117</f>
        <v>15</v>
      </c>
      <c r="I312" s="798" t="str">
        <f>F!S117</f>
        <v>M2</v>
      </c>
      <c r="J312" s="798" t="s">
        <v>688</v>
      </c>
      <c r="K312" s="804" t="str">
        <f>VLOOKUP(J312,RKPANL!B:D,2,0)</f>
        <v>Pemasangan 1 m2 dinding keramik uk 20 cm x 40 cm</v>
      </c>
      <c r="L312" s="800">
        <f>VLOOKUP(J312,RKPANL!B:D,3,0)</f>
        <v>371622.5</v>
      </c>
      <c r="M312" s="801">
        <f>L312*H312</f>
        <v>5574337.5</v>
      </c>
    </row>
    <row r="313" spans="2:14" ht="15.6" outlineLevel="2">
      <c r="B313" s="793"/>
      <c r="C313" s="848"/>
      <c r="D313" s="794">
        <v>3</v>
      </c>
      <c r="E313" s="795" t="s">
        <v>481</v>
      </c>
      <c r="F313" s="795"/>
      <c r="G313" s="796"/>
      <c r="H313" s="797">
        <f>F!R121</f>
        <v>60.45</v>
      </c>
      <c r="I313" s="798" t="str">
        <f>F!S121</f>
        <v>M2</v>
      </c>
      <c r="J313" s="798" t="s">
        <v>621</v>
      </c>
      <c r="K313" s="804" t="str">
        <f>VLOOKUP(J313,RKPANL!B:D,2,0)</f>
        <v>Pemasangan 1 m2 waterproofing onducoat PA 
campuran 1SP :4PP</v>
      </c>
      <c r="L313" s="800">
        <f>VLOOKUP(J313,RKPANL!B:D,3,0)</f>
        <v>172097.5</v>
      </c>
      <c r="M313" s="801">
        <f>L313*H313</f>
        <v>10403293.875</v>
      </c>
    </row>
    <row r="314" spans="2:14" ht="15.6" outlineLevel="2">
      <c r="B314" s="793"/>
      <c r="C314" s="848"/>
      <c r="D314" s="794"/>
      <c r="E314" s="795"/>
      <c r="F314" s="795"/>
      <c r="G314" s="796"/>
      <c r="H314" s="797"/>
      <c r="I314" s="798"/>
      <c r="J314" s="798"/>
      <c r="K314" s="804"/>
      <c r="L314" s="800"/>
      <c r="M314" s="801"/>
    </row>
    <row r="315" spans="2:14" ht="15.6" outlineLevel="2">
      <c r="B315" s="793"/>
      <c r="C315" s="848" t="s">
        <v>17</v>
      </c>
      <c r="D315" s="696" t="s">
        <v>353</v>
      </c>
      <c r="E315" s="849"/>
      <c r="F315" s="795"/>
      <c r="G315" s="796"/>
      <c r="H315" s="797"/>
      <c r="I315" s="798"/>
      <c r="J315" s="798"/>
      <c r="K315" s="804"/>
      <c r="L315" s="800"/>
      <c r="M315" s="801"/>
    </row>
    <row r="316" spans="2:14" ht="15.6" outlineLevel="2">
      <c r="B316" s="793"/>
      <c r="C316" s="848"/>
      <c r="D316" s="850">
        <v>1</v>
      </c>
      <c r="E316" s="845" t="s">
        <v>900</v>
      </c>
      <c r="F316" s="795"/>
      <c r="G316" s="796"/>
      <c r="H316" s="797">
        <f>H317</f>
        <v>19</v>
      </c>
      <c r="I316" s="798" t="s">
        <v>879</v>
      </c>
      <c r="J316" s="798" t="s">
        <v>290</v>
      </c>
      <c r="K316" s="804" t="str">
        <f>VLOOKUP(J316,RKPANL!B:D,2,0)</f>
        <v>Pasang 1 Titik Instalasi Penerangan dan Stop Kontak dengan Kabel NYA 2x2,5 mm</v>
      </c>
      <c r="L316" s="800">
        <f>VLOOKUP(J316,RKPANL!B:D,3,0)</f>
        <v>232084.375</v>
      </c>
      <c r="M316" s="801">
        <f>L316*H316</f>
        <v>4409603.125</v>
      </c>
    </row>
    <row r="317" spans="2:14" ht="15.6" outlineLevel="2">
      <c r="B317" s="793"/>
      <c r="C317" s="848"/>
      <c r="D317" s="850">
        <v>2</v>
      </c>
      <c r="E317" s="845" t="s">
        <v>842</v>
      </c>
      <c r="F317" s="795"/>
      <c r="G317" s="796"/>
      <c r="H317" s="797">
        <f>F!R124</f>
        <v>19</v>
      </c>
      <c r="I317" s="798" t="str">
        <f>F!S124</f>
        <v>Unit</v>
      </c>
      <c r="J317" s="798" t="s">
        <v>613</v>
      </c>
      <c r="K317" s="804" t="str">
        <f>VLOOKUP(J317,RKPANL!B:D,2,0)</f>
        <v>Pasang 1 buah Lampu LED 7 watt + Fitting Down Light</v>
      </c>
      <c r="L317" s="800">
        <f>VLOOKUP(J317,RKPANL!B:D,3,0)</f>
        <v>121813.75</v>
      </c>
      <c r="M317" s="801">
        <f>L317*H317</f>
        <v>2314461.25</v>
      </c>
    </row>
    <row r="318" spans="2:14" ht="15.6" outlineLevel="2">
      <c r="B318" s="793"/>
      <c r="C318" s="848"/>
      <c r="D318" s="794"/>
      <c r="E318" s="795"/>
      <c r="F318" s="795"/>
      <c r="G318" s="796"/>
      <c r="H318" s="797"/>
      <c r="I318" s="798"/>
      <c r="J318" s="798"/>
      <c r="K318" s="804"/>
      <c r="L318" s="800"/>
      <c r="M318" s="801"/>
    </row>
    <row r="319" spans="2:14" ht="15.6" outlineLevel="2">
      <c r="B319" s="793"/>
      <c r="C319" s="848" t="s">
        <v>18</v>
      </c>
      <c r="D319" s="696" t="s">
        <v>467</v>
      </c>
      <c r="E319" s="849"/>
      <c r="F319" s="795"/>
      <c r="G319" s="817"/>
      <c r="H319" s="797"/>
      <c r="I319" s="798"/>
      <c r="J319" s="798"/>
      <c r="K319" s="804"/>
      <c r="L319" s="800"/>
      <c r="M319" s="801"/>
    </row>
    <row r="320" spans="2:14" ht="15.6" outlineLevel="2">
      <c r="B320" s="793"/>
      <c r="C320" s="848"/>
      <c r="D320" s="794">
        <v>1</v>
      </c>
      <c r="E320" s="845" t="s">
        <v>416</v>
      </c>
      <c r="F320" s="795"/>
      <c r="G320" s="817"/>
      <c r="H320" s="797">
        <f>F!R127</f>
        <v>9</v>
      </c>
      <c r="I320" s="798" t="str">
        <f>F!S127</f>
        <v>Unit</v>
      </c>
      <c r="J320" s="798" t="s">
        <v>753</v>
      </c>
      <c r="K320" s="804" t="str">
        <f>VLOOKUP(J320,RKPANL!B:D,2,0)</f>
        <v>Pemasangan 1 buah kran diameter ½” atau ¾ ”</v>
      </c>
      <c r="L320" s="800">
        <f>VLOOKUP(J320,RKPANL!B:D,3,0)</f>
        <v>141881.25</v>
      </c>
      <c r="M320" s="801">
        <f>L320*H320</f>
        <v>1276931.25</v>
      </c>
    </row>
    <row r="321" spans="2:13" ht="15.6" outlineLevel="2">
      <c r="B321" s="793"/>
      <c r="C321" s="848"/>
      <c r="D321" s="794">
        <v>2</v>
      </c>
      <c r="E321" s="845" t="s">
        <v>517</v>
      </c>
      <c r="F321" s="795"/>
      <c r="G321" s="817"/>
      <c r="H321" s="797">
        <f>F!R127</f>
        <v>9</v>
      </c>
      <c r="I321" s="798" t="str">
        <f>F!S127</f>
        <v>Unit</v>
      </c>
      <c r="J321" s="798" t="s">
        <v>845</v>
      </c>
      <c r="K321" s="804" t="str">
        <f>VLOOKUP(J321,RKPANL!B:D,2,0)</f>
        <v>Pemasangan 1 buah Push Kran Urinoir</v>
      </c>
      <c r="L321" s="800">
        <f>VLOOKUP(J321,RKPANL!B:D,3,0)</f>
        <v>311448.75</v>
      </c>
      <c r="M321" s="801">
        <f>L321*H321</f>
        <v>2803038.75</v>
      </c>
    </row>
    <row r="322" spans="2:13" ht="15.6" outlineLevel="2">
      <c r="B322" s="793"/>
      <c r="C322" s="848"/>
      <c r="D322" s="794">
        <v>3</v>
      </c>
      <c r="E322" s="846" t="s">
        <v>418</v>
      </c>
      <c r="F322" s="795"/>
      <c r="G322" s="817"/>
      <c r="H322" s="797">
        <f>F!R129</f>
        <v>9</v>
      </c>
      <c r="I322" s="798" t="str">
        <f>F!S129</f>
        <v>Unit</v>
      </c>
      <c r="J322" s="798" t="s">
        <v>750</v>
      </c>
      <c r="K322" s="804" t="str">
        <f>VLOOKUP(J322,RKPANL!B:D,2,0)</f>
        <v>Pemasangan 1 buah floor drain</v>
      </c>
      <c r="L322" s="800">
        <f>VLOOKUP(J322,RKPANL!B:D,3,0)</f>
        <v>161028.75</v>
      </c>
      <c r="M322" s="801">
        <f>L322*H322</f>
        <v>1449258.75</v>
      </c>
    </row>
    <row r="323" spans="2:13" ht="15.6" outlineLevel="2">
      <c r="B323" s="851"/>
      <c r="C323" s="848"/>
      <c r="D323" s="794"/>
      <c r="E323" s="794"/>
      <c r="F323" s="795"/>
      <c r="G323" s="817"/>
      <c r="H323" s="797"/>
      <c r="I323" s="852"/>
      <c r="J323" s="798"/>
      <c r="K323" s="804"/>
      <c r="L323" s="800"/>
      <c r="M323" s="801"/>
    </row>
    <row r="324" spans="2:13" ht="15.6" outlineLevel="2">
      <c r="B324" s="793"/>
      <c r="C324" s="848" t="s">
        <v>19</v>
      </c>
      <c r="D324" s="696" t="s">
        <v>634</v>
      </c>
      <c r="E324" s="849"/>
      <c r="F324" s="795"/>
      <c r="G324" s="817"/>
      <c r="H324" s="797"/>
      <c r="I324" s="798"/>
      <c r="J324" s="798"/>
      <c r="K324" s="804"/>
      <c r="L324" s="800"/>
      <c r="M324" s="801"/>
    </row>
    <row r="325" spans="2:13" ht="15.6" outlineLevel="2">
      <c r="B325" s="793"/>
      <c r="C325" s="848"/>
      <c r="D325" s="794">
        <v>1</v>
      </c>
      <c r="E325" s="846" t="s">
        <v>628</v>
      </c>
      <c r="F325" s="795"/>
      <c r="G325" s="817"/>
      <c r="H325" s="797">
        <v>30</v>
      </c>
      <c r="I325" s="798" t="s">
        <v>21</v>
      </c>
      <c r="J325" s="798" t="s">
        <v>284</v>
      </c>
      <c r="K325" s="804" t="str">
        <f>VLOOKUP(J325,RKPANL!B:D,2,0)</f>
        <v>Pemasangan 1 m’ pipa PVC tipe AW diameter ½ ”</v>
      </c>
      <c r="L325" s="800">
        <f>VLOOKUP(J325,RKPANL!B:D,3,0)</f>
        <v>41465.166666666672</v>
      </c>
      <c r="M325" s="801">
        <f t="shared" ref="M325:M330" si="11">L325*H325</f>
        <v>1243955.0000000002</v>
      </c>
    </row>
    <row r="326" spans="2:13" ht="15.6" outlineLevel="2">
      <c r="B326" s="793"/>
      <c r="C326" s="848"/>
      <c r="D326" s="794">
        <v>2</v>
      </c>
      <c r="E326" s="846" t="s">
        <v>629</v>
      </c>
      <c r="F326" s="795"/>
      <c r="G326" s="817"/>
      <c r="H326" s="797">
        <v>24</v>
      </c>
      <c r="I326" s="798" t="s">
        <v>21</v>
      </c>
      <c r="J326" s="798" t="s">
        <v>690</v>
      </c>
      <c r="K326" s="804" t="str">
        <f>VLOOKUP(J326,RKPANL!B:D,2,0)</f>
        <v>Pemasangan 1 m’ pipa PVC tipe AW diameter 3/4 ”</v>
      </c>
      <c r="L326" s="800">
        <f>VLOOKUP(J326,RKPANL!B:D,3,0)</f>
        <v>32552.666666666664</v>
      </c>
      <c r="M326" s="801">
        <f t="shared" si="11"/>
        <v>781264</v>
      </c>
    </row>
    <row r="327" spans="2:13" ht="15.6" outlineLevel="2">
      <c r="B327" s="793"/>
      <c r="C327" s="848"/>
      <c r="D327" s="794">
        <v>3</v>
      </c>
      <c r="E327" s="846" t="s">
        <v>630</v>
      </c>
      <c r="F327" s="795"/>
      <c r="G327" s="817"/>
      <c r="H327" s="797">
        <v>24</v>
      </c>
      <c r="I327" s="798" t="s">
        <v>21</v>
      </c>
      <c r="J327" s="798" t="s">
        <v>691</v>
      </c>
      <c r="K327" s="804" t="str">
        <f>VLOOKUP(J327,RKPANL!B:D,2,0)</f>
        <v>Pemasangan 1 m’ pipa PVC tipe AW diameter 1”</v>
      </c>
      <c r="L327" s="800">
        <f>VLOOKUP(J327,RKPANL!B:D,3,0)</f>
        <v>44372.75</v>
      </c>
      <c r="M327" s="801">
        <f t="shared" si="11"/>
        <v>1064946</v>
      </c>
    </row>
    <row r="328" spans="2:13" ht="15.6" outlineLevel="2">
      <c r="B328" s="793"/>
      <c r="C328" s="848"/>
      <c r="D328" s="794">
        <v>4</v>
      </c>
      <c r="E328" s="846" t="s">
        <v>631</v>
      </c>
      <c r="F328" s="795"/>
      <c r="G328" s="817"/>
      <c r="H328" s="797">
        <v>24</v>
      </c>
      <c r="I328" s="798" t="s">
        <v>21</v>
      </c>
      <c r="J328" s="798" t="s">
        <v>692</v>
      </c>
      <c r="K328" s="804" t="str">
        <f>VLOOKUP(J328,RKPANL!B:D,2,0)</f>
        <v>Pemasangan 1 m’ pipa PVC tipe AW diameter 1 ½ ”</v>
      </c>
      <c r="L328" s="800">
        <f>VLOOKUP(J328,RKPANL!B:D,3,0)</f>
        <v>50314.416666666672</v>
      </c>
      <c r="M328" s="801">
        <f t="shared" si="11"/>
        <v>1207546</v>
      </c>
    </row>
    <row r="329" spans="2:13" ht="15.6" outlineLevel="2">
      <c r="B329" s="793"/>
      <c r="C329" s="848"/>
      <c r="D329" s="794">
        <v>5</v>
      </c>
      <c r="E329" s="846" t="s">
        <v>632</v>
      </c>
      <c r="F329" s="795"/>
      <c r="G329" s="817"/>
      <c r="H329" s="797">
        <v>12</v>
      </c>
      <c r="I329" s="798" t="s">
        <v>21</v>
      </c>
      <c r="J329" s="798" t="s">
        <v>693</v>
      </c>
      <c r="K329" s="804" t="str">
        <f>VLOOKUP(J329,RKPANL!B:D,2,0)</f>
        <v>Pemasangan 1 m’ pipa PVC tipe AW diameter 2”</v>
      </c>
      <c r="L329" s="800">
        <f>VLOOKUP(J329,RKPANL!B:D,3,0)</f>
        <v>71110.25</v>
      </c>
      <c r="M329" s="801">
        <f t="shared" si="11"/>
        <v>853323</v>
      </c>
    </row>
    <row r="330" spans="2:13" ht="15.6" outlineLevel="2">
      <c r="B330" s="793"/>
      <c r="C330" s="848"/>
      <c r="D330" s="794">
        <v>6</v>
      </c>
      <c r="E330" s="846" t="s">
        <v>633</v>
      </c>
      <c r="F330" s="795"/>
      <c r="G330" s="817"/>
      <c r="H330" s="797">
        <v>12</v>
      </c>
      <c r="I330" s="798" t="s">
        <v>21</v>
      </c>
      <c r="J330" s="798" t="s">
        <v>766</v>
      </c>
      <c r="K330" s="804" t="str">
        <f>VLOOKUP(J330,RKPANL!B:D,2,0)</f>
        <v>Pemasangan 1 m’ pipa PVC tipe AW diameter 3”</v>
      </c>
      <c r="L330" s="800">
        <f>VLOOKUP(J330,RKPANL!B:D,3,0)</f>
        <v>100818.58333333333</v>
      </c>
      <c r="M330" s="801">
        <f t="shared" si="11"/>
        <v>1209823</v>
      </c>
    </row>
    <row r="331" spans="2:13" ht="15.6" outlineLevel="2">
      <c r="B331" s="851"/>
      <c r="C331" s="848"/>
      <c r="D331" s="794"/>
      <c r="E331" s="794"/>
      <c r="F331" s="795"/>
      <c r="G331" s="817"/>
      <c r="H331" s="797"/>
      <c r="I331" s="852"/>
      <c r="J331" s="798"/>
      <c r="K331" s="804"/>
      <c r="L331" s="800"/>
      <c r="M331" s="801"/>
    </row>
    <row r="332" spans="2:13" ht="15.6" outlineLevel="2">
      <c r="B332" s="793"/>
      <c r="C332" s="848" t="s">
        <v>404</v>
      </c>
      <c r="D332" s="696" t="s">
        <v>419</v>
      </c>
      <c r="E332" s="849"/>
      <c r="F332" s="795"/>
      <c r="G332" s="817"/>
      <c r="H332" s="797"/>
      <c r="I332" s="798"/>
      <c r="J332" s="798"/>
      <c r="K332" s="804"/>
      <c r="L332" s="800"/>
      <c r="M332" s="801"/>
    </row>
    <row r="333" spans="2:13" ht="15.6" outlineLevel="2">
      <c r="B333" s="793"/>
      <c r="C333" s="848"/>
      <c r="D333" s="794">
        <v>1</v>
      </c>
      <c r="E333" s="846" t="s">
        <v>907</v>
      </c>
      <c r="F333" s="795"/>
      <c r="G333" s="817"/>
      <c r="H333" s="797">
        <f>F!R132</f>
        <v>2</v>
      </c>
      <c r="I333" s="798" t="str">
        <f>F!S132</f>
        <v>Unit</v>
      </c>
      <c r="J333" s="798" t="s">
        <v>253</v>
      </c>
      <c r="K333" s="804" t="str">
        <f>VLOOKUP(J333,RKPANL!B:D,2,0)</f>
        <v>Memasang 1 bh kunci tanam</v>
      </c>
      <c r="L333" s="800">
        <f>VLOOKUP(J333,RKPANL!B:D,3,0)</f>
        <v>305698.75</v>
      </c>
      <c r="M333" s="801">
        <f>L333*H333</f>
        <v>611397.5</v>
      </c>
    </row>
    <row r="334" spans="2:13" ht="15.6" outlineLevel="2">
      <c r="B334" s="793"/>
      <c r="C334" s="848"/>
      <c r="D334" s="794">
        <v>2</v>
      </c>
      <c r="E334" s="846" t="s">
        <v>908</v>
      </c>
      <c r="F334" s="795"/>
      <c r="G334" s="817"/>
      <c r="H334" s="797">
        <f>F!R133</f>
        <v>9</v>
      </c>
      <c r="I334" s="798" t="str">
        <f>F!S133</f>
        <v>Unit</v>
      </c>
      <c r="J334" s="798" t="s">
        <v>660</v>
      </c>
      <c r="K334" s="804" t="str">
        <f>VLOOKUP(J334,RKPANL!B:D,2,0)</f>
        <v>Memasang 1 bh Pintu Aluminium Uk. 70x200 cm</v>
      </c>
      <c r="L334" s="800">
        <f>VLOOKUP(J334,RKPANL!B:D,3,0)</f>
        <v>1414068.75</v>
      </c>
      <c r="M334" s="801">
        <f>L334*H334</f>
        <v>12726618.75</v>
      </c>
    </row>
    <row r="335" spans="2:13" ht="15.6" outlineLevel="2">
      <c r="B335" s="793"/>
      <c r="C335" s="848"/>
      <c r="D335" s="794"/>
      <c r="E335" s="795"/>
      <c r="F335" s="795"/>
      <c r="G335" s="796"/>
      <c r="H335" s="797"/>
      <c r="I335" s="798"/>
      <c r="J335" s="798"/>
      <c r="K335" s="841"/>
      <c r="L335" s="800"/>
      <c r="M335" s="801"/>
    </row>
    <row r="336" spans="2:13" ht="15.6" outlineLevel="2">
      <c r="B336" s="793"/>
      <c r="C336" s="848" t="s">
        <v>560</v>
      </c>
      <c r="D336" s="696" t="s">
        <v>422</v>
      </c>
      <c r="E336" s="849"/>
      <c r="F336" s="795"/>
      <c r="G336" s="817"/>
      <c r="H336" s="797"/>
      <c r="I336" s="798"/>
      <c r="J336" s="798"/>
      <c r="K336" s="804"/>
      <c r="L336" s="800"/>
      <c r="M336" s="801"/>
    </row>
    <row r="337" spans="2:14" ht="15.6" outlineLevel="2">
      <c r="B337" s="793"/>
      <c r="C337" s="802"/>
      <c r="D337" s="850">
        <v>1</v>
      </c>
      <c r="E337" s="845" t="s">
        <v>919</v>
      </c>
      <c r="F337" s="795"/>
      <c r="G337" s="817"/>
      <c r="H337" s="797">
        <f>F!R136</f>
        <v>82.07</v>
      </c>
      <c r="I337" s="798" t="str">
        <f>F!S136</f>
        <v>M2</v>
      </c>
      <c r="J337" s="798" t="s">
        <v>611</v>
      </c>
      <c r="K337" s="804" t="str">
        <f>VLOOKUP(J337,RKPANL!B:D,2,0)</f>
        <v>Pengecatan 1 m2 Tembok Lama (1 Lapis Cat Dasar, 2 Lapis Cat 
Penutup) 
lapis cat penutup)</v>
      </c>
      <c r="L337" s="800">
        <f>VLOOKUP(J337,RKPANL!B:D,3,0)</f>
        <v>43204.35</v>
      </c>
      <c r="M337" s="801">
        <f>L337*H337</f>
        <v>3545781.0044999998</v>
      </c>
    </row>
    <row r="338" spans="2:14" outlineLevel="2">
      <c r="B338" s="793"/>
      <c r="C338" s="802"/>
      <c r="D338" s="794"/>
      <c r="E338" s="795"/>
      <c r="F338" s="795"/>
      <c r="G338" s="796"/>
      <c r="H338" s="797"/>
      <c r="I338" s="798"/>
      <c r="J338" s="798"/>
      <c r="K338" s="841"/>
      <c r="L338" s="800"/>
      <c r="M338" s="801"/>
    </row>
    <row r="339" spans="2:14" ht="15.6" outlineLevel="1">
      <c r="B339" s="842"/>
      <c r="C339" s="843"/>
      <c r="D339" s="853"/>
      <c r="E339" s="843"/>
      <c r="F339" s="843"/>
      <c r="G339" s="843"/>
      <c r="H339" s="809"/>
      <c r="I339" s="843"/>
      <c r="J339" s="843"/>
      <c r="K339" s="844"/>
      <c r="L339" s="883" t="s">
        <v>835</v>
      </c>
      <c r="M339" s="810">
        <f>SUM(M307:M338)</f>
        <v>73654931.004500002</v>
      </c>
    </row>
    <row r="340" spans="2:14" ht="15.6" outlineLevel="1">
      <c r="B340" s="880"/>
      <c r="C340" s="881" t="s">
        <v>818</v>
      </c>
      <c r="D340" s="696" t="s">
        <v>371</v>
      </c>
      <c r="E340" s="875"/>
      <c r="F340" s="795"/>
      <c r="G340" s="796"/>
      <c r="H340" s="797"/>
      <c r="I340" s="798"/>
      <c r="J340" s="798"/>
      <c r="K340" s="895"/>
      <c r="L340" s="877"/>
      <c r="M340" s="878"/>
    </row>
    <row r="341" spans="2:14" ht="15.6" outlineLevel="2">
      <c r="B341" s="793"/>
      <c r="C341" s="848" t="s">
        <v>2</v>
      </c>
      <c r="D341" s="696" t="s">
        <v>349</v>
      </c>
      <c r="E341" s="849"/>
      <c r="F341" s="795"/>
      <c r="G341" s="796"/>
      <c r="H341" s="797"/>
      <c r="I341" s="798"/>
      <c r="J341" s="798"/>
      <c r="K341" s="804"/>
      <c r="L341" s="800"/>
      <c r="M341" s="801"/>
      <c r="N341" s="884"/>
    </row>
    <row r="342" spans="2:14" ht="15.6" outlineLevel="2">
      <c r="B342" s="793"/>
      <c r="C342" s="848"/>
      <c r="D342" s="794">
        <v>1</v>
      </c>
      <c r="E342" s="795" t="s">
        <v>899</v>
      </c>
      <c r="F342" s="795"/>
      <c r="G342" s="796"/>
      <c r="H342" s="797">
        <f>F!R143</f>
        <v>1</v>
      </c>
      <c r="I342" s="798" t="str">
        <f>F!S143</f>
        <v>Ls</v>
      </c>
      <c r="J342" s="798" t="s">
        <v>73</v>
      </c>
      <c r="K342" s="804" t="e">
        <f>VLOOKUP(J342,RKPANL!B:D,2,0)</f>
        <v>#N/A</v>
      </c>
      <c r="L342" s="800">
        <v>2000000</v>
      </c>
      <c r="M342" s="801">
        <f>L342*H342</f>
        <v>2000000</v>
      </c>
    </row>
    <row r="343" spans="2:14" ht="15.6" outlineLevel="2">
      <c r="B343" s="793"/>
      <c r="C343" s="848"/>
      <c r="D343" s="794">
        <v>2</v>
      </c>
      <c r="E343" s="795" t="s">
        <v>415</v>
      </c>
      <c r="F343" s="795"/>
      <c r="G343" s="796"/>
      <c r="H343" s="797">
        <f>F!R144</f>
        <v>1</v>
      </c>
      <c r="I343" s="798" t="str">
        <f>F!S144</f>
        <v>Ls</v>
      </c>
      <c r="J343" s="798" t="s">
        <v>73</v>
      </c>
      <c r="K343" s="804" t="e">
        <f>VLOOKUP(J343,RKPANL!B:D,2,0)</f>
        <v>#N/A</v>
      </c>
      <c r="L343" s="800">
        <v>1500000</v>
      </c>
      <c r="M343" s="801">
        <f>L343*H343</f>
        <v>1500000</v>
      </c>
      <c r="N343" s="884"/>
    </row>
    <row r="344" spans="2:14" ht="15.6" outlineLevel="2">
      <c r="B344" s="793"/>
      <c r="C344" s="848"/>
      <c r="D344" s="794"/>
      <c r="E344" s="812"/>
      <c r="F344" s="795"/>
      <c r="G344" s="796"/>
      <c r="H344" s="797"/>
      <c r="I344" s="798"/>
      <c r="J344" s="798"/>
      <c r="K344" s="804"/>
      <c r="L344" s="800"/>
      <c r="M344" s="801"/>
      <c r="N344" s="884"/>
    </row>
    <row r="345" spans="2:14" ht="15.6" outlineLevel="2">
      <c r="B345" s="793"/>
      <c r="C345" s="848" t="s">
        <v>16</v>
      </c>
      <c r="D345" s="696" t="s">
        <v>400</v>
      </c>
      <c r="E345" s="849"/>
      <c r="F345" s="795"/>
      <c r="G345" s="796"/>
      <c r="H345" s="797"/>
      <c r="I345" s="798"/>
      <c r="J345" s="798"/>
      <c r="K345" s="804"/>
      <c r="L345" s="800"/>
      <c r="M345" s="801"/>
      <c r="N345" s="884"/>
    </row>
    <row r="346" spans="2:14" ht="15.6" outlineLevel="2">
      <c r="B346" s="793"/>
      <c r="C346" s="848"/>
      <c r="D346" s="794">
        <v>1</v>
      </c>
      <c r="E346" s="795" t="s">
        <v>890</v>
      </c>
      <c r="F346" s="795"/>
      <c r="G346" s="796"/>
      <c r="H346" s="797">
        <f>F!R147</f>
        <v>60.45</v>
      </c>
      <c r="I346" s="798" t="str">
        <f>F!S147</f>
        <v>M2</v>
      </c>
      <c r="J346" s="798" t="s">
        <v>689</v>
      </c>
      <c r="K346" s="804" t="str">
        <f>VLOOKUP(J346,RKPANL!B:D,2,0)</f>
        <v>Pemasangan 1m2 lantai keramik ukuran 40cm x 40cm</v>
      </c>
      <c r="L346" s="800">
        <f>VLOOKUP(J346,RKPANL!B:D,3,0)</f>
        <v>309005</v>
      </c>
      <c r="M346" s="801">
        <f>L346*H346</f>
        <v>18679352.25</v>
      </c>
      <c r="N346" s="884"/>
    </row>
    <row r="347" spans="2:14" ht="15.6" outlineLevel="2">
      <c r="B347" s="793"/>
      <c r="C347" s="848"/>
      <c r="D347" s="794">
        <v>2</v>
      </c>
      <c r="E347" s="795" t="s">
        <v>421</v>
      </c>
      <c r="F347" s="795"/>
      <c r="G347" s="796"/>
      <c r="H347" s="797">
        <f>F!R158</f>
        <v>15</v>
      </c>
      <c r="I347" s="798" t="str">
        <f>F!S158</f>
        <v>M2</v>
      </c>
      <c r="J347" s="798" t="s">
        <v>688</v>
      </c>
      <c r="K347" s="804" t="str">
        <f>VLOOKUP(J347,RKPANL!B:D,2,0)</f>
        <v>Pemasangan 1 m2 dinding keramik uk 20 cm x 40 cm</v>
      </c>
      <c r="L347" s="800">
        <f>VLOOKUP(J347,RKPANL!B:D,3,0)</f>
        <v>371622.5</v>
      </c>
      <c r="M347" s="801">
        <f>L347*H347</f>
        <v>5574337.5</v>
      </c>
      <c r="N347" s="884"/>
    </row>
    <row r="348" spans="2:14" ht="15.6" outlineLevel="2">
      <c r="B348" s="793"/>
      <c r="C348" s="848"/>
      <c r="D348" s="794">
        <v>3</v>
      </c>
      <c r="E348" s="795" t="s">
        <v>481</v>
      </c>
      <c r="F348" s="795"/>
      <c r="G348" s="796"/>
      <c r="H348" s="797">
        <f>F!R162</f>
        <v>60.45</v>
      </c>
      <c r="I348" s="798" t="str">
        <f>F!S162</f>
        <v>M2</v>
      </c>
      <c r="J348" s="798" t="s">
        <v>621</v>
      </c>
      <c r="K348" s="804" t="str">
        <f>VLOOKUP(J348,RKPANL!B:D,2,0)</f>
        <v>Pemasangan 1 m2 waterproofing onducoat PA 
campuran 1SP :4PP</v>
      </c>
      <c r="L348" s="800">
        <f>VLOOKUP(J348,RKPANL!B:D,3,0)</f>
        <v>172097.5</v>
      </c>
      <c r="M348" s="801">
        <f>L348*H348</f>
        <v>10403293.875</v>
      </c>
      <c r="N348" s="884"/>
    </row>
    <row r="349" spans="2:14" ht="15.6" outlineLevel="2">
      <c r="B349" s="793"/>
      <c r="C349" s="848"/>
      <c r="D349" s="794"/>
      <c r="E349" s="795"/>
      <c r="F349" s="795"/>
      <c r="G349" s="796"/>
      <c r="H349" s="797"/>
      <c r="I349" s="798"/>
      <c r="J349" s="798"/>
      <c r="K349" s="804"/>
      <c r="L349" s="800"/>
      <c r="M349" s="801"/>
    </row>
    <row r="350" spans="2:14" ht="15.6" outlineLevel="2">
      <c r="B350" s="793"/>
      <c r="C350" s="848" t="s">
        <v>17</v>
      </c>
      <c r="D350" s="696" t="s">
        <v>353</v>
      </c>
      <c r="E350" s="849"/>
      <c r="F350" s="795"/>
      <c r="G350" s="796"/>
      <c r="H350" s="797"/>
      <c r="I350" s="798"/>
      <c r="J350" s="798"/>
      <c r="K350" s="804"/>
      <c r="L350" s="800"/>
      <c r="M350" s="801"/>
    </row>
    <row r="351" spans="2:14" ht="15.6" outlineLevel="2">
      <c r="B351" s="793"/>
      <c r="C351" s="848"/>
      <c r="D351" s="850">
        <v>1</v>
      </c>
      <c r="E351" s="845" t="s">
        <v>900</v>
      </c>
      <c r="F351" s="795"/>
      <c r="G351" s="796"/>
      <c r="H351" s="797">
        <f>H352</f>
        <v>19</v>
      </c>
      <c r="I351" s="798" t="s">
        <v>879</v>
      </c>
      <c r="J351" s="798" t="s">
        <v>290</v>
      </c>
      <c r="K351" s="804" t="str">
        <f>VLOOKUP(J351,RKPANL!B:D,2,0)</f>
        <v>Pasang 1 Titik Instalasi Penerangan dan Stop Kontak dengan Kabel NYA 2x2,5 mm</v>
      </c>
      <c r="L351" s="800">
        <f>VLOOKUP(J351,RKPANL!B:D,3,0)</f>
        <v>232084.375</v>
      </c>
      <c r="M351" s="801">
        <f>L351*H351</f>
        <v>4409603.125</v>
      </c>
    </row>
    <row r="352" spans="2:14" ht="15.6" outlineLevel="2">
      <c r="B352" s="793"/>
      <c r="C352" s="848"/>
      <c r="D352" s="850">
        <v>2</v>
      </c>
      <c r="E352" s="845" t="s">
        <v>842</v>
      </c>
      <c r="F352" s="795"/>
      <c r="G352" s="796"/>
      <c r="H352" s="797">
        <f>F!R165</f>
        <v>19</v>
      </c>
      <c r="I352" s="798" t="str">
        <f>F!S165</f>
        <v>Unit</v>
      </c>
      <c r="J352" s="798" t="s">
        <v>613</v>
      </c>
      <c r="K352" s="804" t="str">
        <f>VLOOKUP(J352,RKPANL!B:D,2,0)</f>
        <v>Pasang 1 buah Lampu LED 7 watt + Fitting Down Light</v>
      </c>
      <c r="L352" s="800">
        <f>VLOOKUP(J352,RKPANL!B:D,3,0)</f>
        <v>121813.75</v>
      </c>
      <c r="M352" s="801">
        <f>L352*H352</f>
        <v>2314461.25</v>
      </c>
    </row>
    <row r="353" spans="2:13" ht="15.6" outlineLevel="2">
      <c r="B353" s="793"/>
      <c r="C353" s="848"/>
      <c r="D353" s="794"/>
      <c r="E353" s="795"/>
      <c r="F353" s="795"/>
      <c r="G353" s="796"/>
      <c r="H353" s="797"/>
      <c r="I353" s="798"/>
      <c r="J353" s="798"/>
      <c r="K353" s="804"/>
      <c r="L353" s="800"/>
      <c r="M353" s="801"/>
    </row>
    <row r="354" spans="2:13" ht="15.6" outlineLevel="2">
      <c r="B354" s="793"/>
      <c r="C354" s="848" t="s">
        <v>18</v>
      </c>
      <c r="D354" s="696" t="s">
        <v>467</v>
      </c>
      <c r="E354" s="849"/>
      <c r="F354" s="795"/>
      <c r="G354" s="817"/>
      <c r="H354" s="797"/>
      <c r="I354" s="798"/>
      <c r="J354" s="798"/>
      <c r="K354" s="804"/>
      <c r="L354" s="800"/>
      <c r="M354" s="801"/>
    </row>
    <row r="355" spans="2:13" ht="15.6" outlineLevel="2">
      <c r="B355" s="793"/>
      <c r="C355" s="848"/>
      <c r="D355" s="794">
        <v>1</v>
      </c>
      <c r="E355" s="845" t="s">
        <v>416</v>
      </c>
      <c r="F355" s="795"/>
      <c r="G355" s="817"/>
      <c r="H355" s="797">
        <v>9</v>
      </c>
      <c r="I355" s="798" t="s">
        <v>62</v>
      </c>
      <c r="J355" s="798" t="s">
        <v>753</v>
      </c>
      <c r="K355" s="804" t="str">
        <f>VLOOKUP(J355,RKPANL!B:D,2,0)</f>
        <v>Pemasangan 1 buah kran diameter ½” atau ¾ ”</v>
      </c>
      <c r="L355" s="800">
        <f>VLOOKUP(J355,RKPANL!B:D,3,0)</f>
        <v>141881.25</v>
      </c>
      <c r="M355" s="801">
        <f>L355*H355</f>
        <v>1276931.25</v>
      </c>
    </row>
    <row r="356" spans="2:13" ht="15.6" outlineLevel="2">
      <c r="B356" s="793"/>
      <c r="C356" s="848"/>
      <c r="D356" s="794">
        <v>2</v>
      </c>
      <c r="E356" s="845" t="s">
        <v>517</v>
      </c>
      <c r="F356" s="795"/>
      <c r="G356" s="817"/>
      <c r="H356" s="797">
        <v>9</v>
      </c>
      <c r="I356" s="798" t="s">
        <v>62</v>
      </c>
      <c r="J356" s="798" t="s">
        <v>845</v>
      </c>
      <c r="K356" s="804" t="str">
        <f>VLOOKUP(J356,RKPANL!B:D,2,0)</f>
        <v>Pemasangan 1 buah Push Kran Urinoir</v>
      </c>
      <c r="L356" s="800">
        <f>VLOOKUP(J356,RKPANL!B:D,3,0)</f>
        <v>311448.75</v>
      </c>
      <c r="M356" s="801">
        <f>L356*H356</f>
        <v>2803038.75</v>
      </c>
    </row>
    <row r="357" spans="2:13" ht="15.6" outlineLevel="2">
      <c r="B357" s="793"/>
      <c r="C357" s="848"/>
      <c r="D357" s="794">
        <v>3</v>
      </c>
      <c r="E357" s="846" t="s">
        <v>418</v>
      </c>
      <c r="F357" s="795"/>
      <c r="G357" s="817"/>
      <c r="H357" s="797">
        <v>9</v>
      </c>
      <c r="I357" s="798" t="s">
        <v>62</v>
      </c>
      <c r="J357" s="798" t="s">
        <v>750</v>
      </c>
      <c r="K357" s="804" t="str">
        <f>VLOOKUP(J357,RKPANL!B:D,2,0)</f>
        <v>Pemasangan 1 buah floor drain</v>
      </c>
      <c r="L357" s="800">
        <f>VLOOKUP(J357,RKPANL!B:D,3,0)</f>
        <v>161028.75</v>
      </c>
      <c r="M357" s="801">
        <f>L357*H357</f>
        <v>1449258.75</v>
      </c>
    </row>
    <row r="358" spans="2:13" ht="15.6" outlineLevel="2">
      <c r="B358" s="851"/>
      <c r="C358" s="848"/>
      <c r="D358" s="794"/>
      <c r="E358" s="794"/>
      <c r="F358" s="795"/>
      <c r="G358" s="817"/>
      <c r="H358" s="797"/>
      <c r="I358" s="852"/>
      <c r="J358" s="798"/>
      <c r="K358" s="804"/>
      <c r="L358" s="800"/>
      <c r="M358" s="801"/>
    </row>
    <row r="359" spans="2:13" ht="15.6" outlineLevel="2">
      <c r="B359" s="793"/>
      <c r="C359" s="848" t="s">
        <v>19</v>
      </c>
      <c r="D359" s="696" t="s">
        <v>634</v>
      </c>
      <c r="E359" s="849"/>
      <c r="F359" s="795"/>
      <c r="G359" s="817"/>
      <c r="H359" s="797"/>
      <c r="I359" s="798"/>
      <c r="J359" s="798"/>
      <c r="K359" s="804"/>
      <c r="L359" s="800"/>
      <c r="M359" s="801"/>
    </row>
    <row r="360" spans="2:13" ht="15.6" outlineLevel="2">
      <c r="B360" s="793"/>
      <c r="C360" s="848"/>
      <c r="D360" s="794">
        <v>1</v>
      </c>
      <c r="E360" s="846" t="s">
        <v>628</v>
      </c>
      <c r="F360" s="795"/>
      <c r="G360" s="817"/>
      <c r="H360" s="797">
        <v>30</v>
      </c>
      <c r="I360" s="798" t="s">
        <v>21</v>
      </c>
      <c r="J360" s="798" t="s">
        <v>284</v>
      </c>
      <c r="K360" s="804" t="str">
        <f>VLOOKUP(J360,RKPANL!B:D,2,0)</f>
        <v>Pemasangan 1 m’ pipa PVC tipe AW diameter ½ ”</v>
      </c>
      <c r="L360" s="800">
        <f>VLOOKUP(J360,RKPANL!B:D,3,0)</f>
        <v>41465.166666666672</v>
      </c>
      <c r="M360" s="801">
        <f t="shared" ref="M360:M365" si="12">L360*H360</f>
        <v>1243955.0000000002</v>
      </c>
    </row>
    <row r="361" spans="2:13" ht="15.6" outlineLevel="2">
      <c r="B361" s="793"/>
      <c r="C361" s="848"/>
      <c r="D361" s="794">
        <v>2</v>
      </c>
      <c r="E361" s="846" t="s">
        <v>629</v>
      </c>
      <c r="F361" s="795"/>
      <c r="G361" s="817"/>
      <c r="H361" s="797">
        <v>24</v>
      </c>
      <c r="I361" s="798" t="s">
        <v>21</v>
      </c>
      <c r="J361" s="798" t="s">
        <v>690</v>
      </c>
      <c r="K361" s="804" t="str">
        <f>VLOOKUP(J361,RKPANL!B:D,2,0)</f>
        <v>Pemasangan 1 m’ pipa PVC tipe AW diameter 3/4 ”</v>
      </c>
      <c r="L361" s="800">
        <f>VLOOKUP(J361,RKPANL!B:D,3,0)</f>
        <v>32552.666666666664</v>
      </c>
      <c r="M361" s="801">
        <f t="shared" si="12"/>
        <v>781264</v>
      </c>
    </row>
    <row r="362" spans="2:13" ht="15.6" outlineLevel="2">
      <c r="B362" s="793"/>
      <c r="C362" s="848"/>
      <c r="D362" s="794">
        <v>3</v>
      </c>
      <c r="E362" s="846" t="s">
        <v>630</v>
      </c>
      <c r="F362" s="795"/>
      <c r="G362" s="817"/>
      <c r="H362" s="797">
        <v>24</v>
      </c>
      <c r="I362" s="798" t="s">
        <v>21</v>
      </c>
      <c r="J362" s="798" t="s">
        <v>691</v>
      </c>
      <c r="K362" s="804" t="str">
        <f>VLOOKUP(J362,RKPANL!B:D,2,0)</f>
        <v>Pemasangan 1 m’ pipa PVC tipe AW diameter 1”</v>
      </c>
      <c r="L362" s="800">
        <f>VLOOKUP(J362,RKPANL!B:D,3,0)</f>
        <v>44372.75</v>
      </c>
      <c r="M362" s="801">
        <f t="shared" si="12"/>
        <v>1064946</v>
      </c>
    </row>
    <row r="363" spans="2:13" ht="15.6" outlineLevel="2">
      <c r="B363" s="793"/>
      <c r="C363" s="848"/>
      <c r="D363" s="794">
        <v>4</v>
      </c>
      <c r="E363" s="846" t="s">
        <v>631</v>
      </c>
      <c r="F363" s="795"/>
      <c r="G363" s="817"/>
      <c r="H363" s="797">
        <v>24</v>
      </c>
      <c r="I363" s="798" t="s">
        <v>21</v>
      </c>
      <c r="J363" s="798" t="s">
        <v>692</v>
      </c>
      <c r="K363" s="804" t="str">
        <f>VLOOKUP(J363,RKPANL!B:D,2,0)</f>
        <v>Pemasangan 1 m’ pipa PVC tipe AW diameter 1 ½ ”</v>
      </c>
      <c r="L363" s="800">
        <f>VLOOKUP(J363,RKPANL!B:D,3,0)</f>
        <v>50314.416666666672</v>
      </c>
      <c r="M363" s="801">
        <f t="shared" si="12"/>
        <v>1207546</v>
      </c>
    </row>
    <row r="364" spans="2:13" ht="15.6" outlineLevel="2">
      <c r="B364" s="793"/>
      <c r="C364" s="848"/>
      <c r="D364" s="794">
        <v>5</v>
      </c>
      <c r="E364" s="846" t="s">
        <v>632</v>
      </c>
      <c r="F364" s="795"/>
      <c r="G364" s="817"/>
      <c r="H364" s="797">
        <v>12</v>
      </c>
      <c r="I364" s="798" t="s">
        <v>21</v>
      </c>
      <c r="J364" s="798" t="s">
        <v>693</v>
      </c>
      <c r="K364" s="804" t="str">
        <f>VLOOKUP(J364,RKPANL!B:D,2,0)</f>
        <v>Pemasangan 1 m’ pipa PVC tipe AW diameter 2”</v>
      </c>
      <c r="L364" s="800">
        <f>VLOOKUP(J364,RKPANL!B:D,3,0)</f>
        <v>71110.25</v>
      </c>
      <c r="M364" s="801">
        <f t="shared" si="12"/>
        <v>853323</v>
      </c>
    </row>
    <row r="365" spans="2:13" ht="15.6" outlineLevel="2">
      <c r="B365" s="793"/>
      <c r="C365" s="848"/>
      <c r="D365" s="794">
        <v>6</v>
      </c>
      <c r="E365" s="846" t="s">
        <v>633</v>
      </c>
      <c r="F365" s="795"/>
      <c r="G365" s="817"/>
      <c r="H365" s="797">
        <v>12</v>
      </c>
      <c r="I365" s="798" t="s">
        <v>21</v>
      </c>
      <c r="J365" s="798" t="s">
        <v>766</v>
      </c>
      <c r="K365" s="804" t="str">
        <f>VLOOKUP(J365,RKPANL!B:D,2,0)</f>
        <v>Pemasangan 1 m’ pipa PVC tipe AW diameter 3”</v>
      </c>
      <c r="L365" s="800">
        <f>VLOOKUP(J365,RKPANL!B:D,3,0)</f>
        <v>100818.58333333333</v>
      </c>
      <c r="M365" s="801">
        <f t="shared" si="12"/>
        <v>1209823</v>
      </c>
    </row>
    <row r="366" spans="2:13" ht="15.6" outlineLevel="2">
      <c r="B366" s="851"/>
      <c r="C366" s="848"/>
      <c r="D366" s="794"/>
      <c r="E366" s="794"/>
      <c r="F366" s="795"/>
      <c r="G366" s="817"/>
      <c r="H366" s="797"/>
      <c r="I366" s="852"/>
      <c r="J366" s="798"/>
      <c r="K366" s="804"/>
      <c r="L366" s="800"/>
      <c r="M366" s="801"/>
    </row>
    <row r="367" spans="2:13" ht="15.6" outlineLevel="2">
      <c r="B367" s="793"/>
      <c r="C367" s="848" t="s">
        <v>404</v>
      </c>
      <c r="D367" s="696" t="s">
        <v>419</v>
      </c>
      <c r="E367" s="849"/>
      <c r="F367" s="795"/>
      <c r="G367" s="817"/>
      <c r="H367" s="797"/>
      <c r="I367" s="798"/>
      <c r="J367" s="798"/>
      <c r="K367" s="804"/>
      <c r="L367" s="800"/>
      <c r="M367" s="801"/>
    </row>
    <row r="368" spans="2:13" ht="15.6" outlineLevel="2">
      <c r="B368" s="793"/>
      <c r="C368" s="848"/>
      <c r="D368" s="794">
        <v>1</v>
      </c>
      <c r="E368" s="846" t="s">
        <v>907</v>
      </c>
      <c r="F368" s="795"/>
      <c r="G368" s="817"/>
      <c r="H368" s="797">
        <f>F!R174</f>
        <v>2</v>
      </c>
      <c r="I368" s="798" t="str">
        <f>F!S174</f>
        <v>Unit</v>
      </c>
      <c r="J368" s="798" t="s">
        <v>253</v>
      </c>
      <c r="K368" s="804" t="str">
        <f>VLOOKUP(J368,RKPANL!B:D,2,0)</f>
        <v>Memasang 1 bh kunci tanam</v>
      </c>
      <c r="L368" s="800">
        <f>VLOOKUP(J368,RKPANL!B:D,3,0)</f>
        <v>305698.75</v>
      </c>
      <c r="M368" s="801">
        <f>L368*H368</f>
        <v>611397.5</v>
      </c>
    </row>
    <row r="369" spans="2:14" ht="15.6" outlineLevel="2">
      <c r="B369" s="793"/>
      <c r="C369" s="848"/>
      <c r="D369" s="794">
        <v>2</v>
      </c>
      <c r="E369" s="846" t="s">
        <v>908</v>
      </c>
      <c r="F369" s="795"/>
      <c r="G369" s="817"/>
      <c r="H369" s="797">
        <f>F!R175</f>
        <v>9</v>
      </c>
      <c r="I369" s="798" t="str">
        <f>F!S175</f>
        <v>Unit</v>
      </c>
      <c r="J369" s="798" t="s">
        <v>660</v>
      </c>
      <c r="K369" s="804" t="str">
        <f>VLOOKUP(J369,RKPANL!B:D,2,0)</f>
        <v>Memasang 1 bh Pintu Aluminium Uk. 70x200 cm</v>
      </c>
      <c r="L369" s="800">
        <f>VLOOKUP(J369,RKPANL!B:D,3,0)</f>
        <v>1414068.75</v>
      </c>
      <c r="M369" s="801">
        <f>L369*H369</f>
        <v>12726618.75</v>
      </c>
    </row>
    <row r="370" spans="2:14" ht="15.6" outlineLevel="2">
      <c r="B370" s="793"/>
      <c r="C370" s="848"/>
      <c r="D370" s="794"/>
      <c r="E370" s="795"/>
      <c r="F370" s="795"/>
      <c r="G370" s="796"/>
      <c r="H370" s="797"/>
      <c r="I370" s="798"/>
      <c r="J370" s="798"/>
      <c r="K370" s="841"/>
      <c r="L370" s="800"/>
      <c r="M370" s="801"/>
    </row>
    <row r="371" spans="2:14" ht="15.6" outlineLevel="2">
      <c r="B371" s="793"/>
      <c r="C371" s="848" t="s">
        <v>560</v>
      </c>
      <c r="D371" s="696" t="s">
        <v>422</v>
      </c>
      <c r="E371" s="849"/>
      <c r="F371" s="795"/>
      <c r="G371" s="817"/>
      <c r="H371" s="797"/>
      <c r="I371" s="798"/>
      <c r="J371" s="798"/>
      <c r="K371" s="804"/>
      <c r="L371" s="800"/>
      <c r="M371" s="801"/>
    </row>
    <row r="372" spans="2:14" ht="15.6" outlineLevel="2">
      <c r="B372" s="793"/>
      <c r="C372" s="802"/>
      <c r="D372" s="850">
        <v>1</v>
      </c>
      <c r="E372" s="845" t="s">
        <v>919</v>
      </c>
      <c r="F372" s="795"/>
      <c r="G372" s="817"/>
      <c r="H372" s="797">
        <f>F!R178</f>
        <v>82.07</v>
      </c>
      <c r="I372" s="798" t="str">
        <f>F!S178</f>
        <v>M2</v>
      </c>
      <c r="J372" s="798" t="s">
        <v>611</v>
      </c>
      <c r="K372" s="804" t="str">
        <f>VLOOKUP(J372,RKPANL!B:D,2,0)</f>
        <v>Pengecatan 1 m2 Tembok Lama (1 Lapis Cat Dasar, 2 Lapis Cat 
Penutup) 
lapis cat penutup)</v>
      </c>
      <c r="L372" s="800">
        <f>VLOOKUP(J372,RKPANL!B:D,3,0)</f>
        <v>43204.35</v>
      </c>
      <c r="M372" s="801">
        <f>L372*H372</f>
        <v>3545781.0044999998</v>
      </c>
    </row>
    <row r="373" spans="2:14" outlineLevel="2">
      <c r="B373" s="793"/>
      <c r="C373" s="802"/>
      <c r="D373" s="794"/>
      <c r="E373" s="795"/>
      <c r="F373" s="795"/>
      <c r="G373" s="796"/>
      <c r="H373" s="797"/>
      <c r="I373" s="798"/>
      <c r="J373" s="798"/>
      <c r="K373" s="841"/>
      <c r="L373" s="800"/>
      <c r="M373" s="801"/>
    </row>
    <row r="374" spans="2:14" ht="15.6" outlineLevel="1">
      <c r="B374" s="842"/>
      <c r="C374" s="843"/>
      <c r="D374" s="853"/>
      <c r="E374" s="843"/>
      <c r="F374" s="843"/>
      <c r="G374" s="843"/>
      <c r="H374" s="809"/>
      <c r="I374" s="843"/>
      <c r="J374" s="843"/>
      <c r="K374" s="809"/>
      <c r="L374" s="883" t="s">
        <v>836</v>
      </c>
      <c r="M374" s="810">
        <f>SUM(M340:M373)</f>
        <v>73654931.004500002</v>
      </c>
    </row>
    <row r="375" spans="2:14" ht="15.6">
      <c r="B375" s="807"/>
      <c r="C375" s="808"/>
      <c r="D375" s="854"/>
      <c r="E375" s="808"/>
      <c r="F375" s="808"/>
      <c r="G375" s="808"/>
      <c r="H375" s="809"/>
      <c r="I375" s="808"/>
      <c r="J375" s="808"/>
      <c r="K375" s="1224" t="s">
        <v>503</v>
      </c>
      <c r="L375" s="1225"/>
      <c r="M375" s="810">
        <f>SUM(M234:M374)/2</f>
        <v>277314650.42599994</v>
      </c>
      <c r="N375" s="879">
        <f>M375</f>
        <v>277314650.42599994</v>
      </c>
    </row>
    <row r="376" spans="2:14" ht="15.6">
      <c r="B376" s="851" t="s">
        <v>174</v>
      </c>
      <c r="C376" s="874" t="s">
        <v>484</v>
      </c>
      <c r="E376" s="875"/>
      <c r="F376" s="795"/>
      <c r="G376" s="796"/>
      <c r="H376" s="797"/>
      <c r="I376" s="798"/>
      <c r="J376" s="798"/>
      <c r="K376" s="876"/>
      <c r="L376" s="877"/>
      <c r="M376" s="878"/>
    </row>
    <row r="377" spans="2:14" ht="15.6" outlineLevel="1">
      <c r="B377" s="880"/>
      <c r="C377" s="881" t="s">
        <v>813</v>
      </c>
      <c r="D377" s="696" t="s">
        <v>699</v>
      </c>
      <c r="E377" s="875"/>
      <c r="F377" s="795"/>
      <c r="G377" s="796"/>
      <c r="H377" s="797"/>
      <c r="I377" s="798"/>
      <c r="J377" s="798"/>
      <c r="K377" s="895"/>
      <c r="L377" s="877"/>
      <c r="M377" s="878"/>
    </row>
    <row r="378" spans="2:14" ht="15.6" outlineLevel="2">
      <c r="B378" s="793"/>
      <c r="C378" s="848" t="s">
        <v>2</v>
      </c>
      <c r="D378" s="696" t="s">
        <v>461</v>
      </c>
      <c r="E378" s="849"/>
      <c r="F378" s="795"/>
      <c r="G378" s="796"/>
      <c r="H378" s="797"/>
      <c r="I378" s="798"/>
      <c r="J378" s="798"/>
      <c r="K378" s="799"/>
      <c r="L378" s="800"/>
      <c r="M378" s="801"/>
    </row>
    <row r="379" spans="2:14" outlineLevel="2">
      <c r="B379" s="793"/>
      <c r="C379" s="802"/>
      <c r="D379" s="794">
        <v>1</v>
      </c>
      <c r="E379" s="795" t="s">
        <v>485</v>
      </c>
      <c r="F379" s="795"/>
      <c r="G379" s="796"/>
      <c r="H379" s="797">
        <f>8.5*3</f>
        <v>25.5</v>
      </c>
      <c r="I379" s="798" t="s">
        <v>133</v>
      </c>
      <c r="J379" s="798" t="s">
        <v>73</v>
      </c>
      <c r="K379" s="804" t="e">
        <f>VLOOKUP(J379,RKPANL!B:D,2,0)</f>
        <v>#N/A</v>
      </c>
      <c r="L379" s="800">
        <v>600000</v>
      </c>
      <c r="M379" s="801">
        <f>L379*H379</f>
        <v>15300000</v>
      </c>
    </row>
    <row r="380" spans="2:14" outlineLevel="2">
      <c r="B380" s="793"/>
      <c r="C380" s="802"/>
      <c r="D380" s="794"/>
      <c r="E380" s="812"/>
      <c r="F380" s="795"/>
      <c r="G380" s="796"/>
      <c r="H380" s="797"/>
      <c r="I380" s="798"/>
      <c r="J380" s="798"/>
      <c r="K380" s="804"/>
      <c r="L380" s="800"/>
      <c r="M380" s="801"/>
    </row>
    <row r="381" spans="2:14" ht="15.6" outlineLevel="2">
      <c r="B381" s="793"/>
      <c r="C381" s="848" t="s">
        <v>16</v>
      </c>
      <c r="D381" s="696" t="s">
        <v>424</v>
      </c>
      <c r="E381" s="849"/>
      <c r="F381" s="795"/>
      <c r="G381" s="817"/>
      <c r="H381" s="797"/>
      <c r="I381" s="798"/>
      <c r="J381" s="798"/>
      <c r="K381" s="804"/>
      <c r="L381" s="800"/>
      <c r="M381" s="801"/>
    </row>
    <row r="382" spans="2:14" ht="15.6" outlineLevel="2">
      <c r="B382" s="793"/>
      <c r="C382" s="848"/>
      <c r="D382" s="794">
        <v>1</v>
      </c>
      <c r="E382" s="812" t="s">
        <v>489</v>
      </c>
      <c r="F382" s="795"/>
      <c r="G382" s="817"/>
      <c r="H382" s="797">
        <v>1</v>
      </c>
      <c r="I382" s="798" t="s">
        <v>20</v>
      </c>
      <c r="J382" s="798" t="s">
        <v>73</v>
      </c>
      <c r="K382" s="804" t="e">
        <f>VLOOKUP(J382,RKPANL!B:D,2,0)</f>
        <v>#N/A</v>
      </c>
      <c r="L382" s="800">
        <v>1000000</v>
      </c>
      <c r="M382" s="801">
        <f>L382*H382</f>
        <v>1000000</v>
      </c>
    </row>
    <row r="383" spans="2:14" ht="15.6" outlineLevel="2">
      <c r="B383" s="793"/>
      <c r="C383" s="848"/>
      <c r="D383" s="794">
        <v>2</v>
      </c>
      <c r="E383" s="812" t="s">
        <v>427</v>
      </c>
      <c r="F383" s="795"/>
      <c r="G383" s="817"/>
      <c r="H383" s="797">
        <v>1</v>
      </c>
      <c r="I383" s="798" t="s">
        <v>20</v>
      </c>
      <c r="J383" s="798" t="s">
        <v>73</v>
      </c>
      <c r="K383" s="804" t="e">
        <f>VLOOKUP(J383,RKPANL!B:D,2,0)</f>
        <v>#N/A</v>
      </c>
      <c r="L383" s="800">
        <v>500000</v>
      </c>
      <c r="M383" s="801">
        <f>L383*H383</f>
        <v>500000</v>
      </c>
    </row>
    <row r="384" spans="2:14" ht="15.6" outlineLevel="2">
      <c r="B384" s="851"/>
      <c r="C384" s="848"/>
      <c r="D384" s="794"/>
      <c r="E384" s="794"/>
      <c r="F384" s="795"/>
      <c r="G384" s="817"/>
      <c r="H384" s="797"/>
      <c r="I384" s="798"/>
      <c r="J384" s="798"/>
      <c r="K384" s="804"/>
      <c r="L384" s="800"/>
      <c r="M384" s="801"/>
    </row>
    <row r="385" spans="2:13" ht="15.6" outlineLevel="2">
      <c r="B385" s="793"/>
      <c r="C385" s="848" t="s">
        <v>17</v>
      </c>
      <c r="D385" s="696" t="s">
        <v>486</v>
      </c>
      <c r="E385" s="849"/>
      <c r="F385" s="795"/>
      <c r="G385" s="817"/>
      <c r="H385" s="797"/>
      <c r="I385" s="798"/>
      <c r="J385" s="798"/>
      <c r="K385" s="804"/>
      <c r="L385" s="800"/>
      <c r="M385" s="801"/>
    </row>
    <row r="386" spans="2:13" ht="15.6" outlineLevel="2">
      <c r="B386" s="793"/>
      <c r="C386" s="848"/>
      <c r="D386" s="794">
        <v>1</v>
      </c>
      <c r="E386" s="812" t="s">
        <v>487</v>
      </c>
      <c r="F386" s="795"/>
      <c r="G386" s="817"/>
      <c r="H386" s="797">
        <v>2</v>
      </c>
      <c r="I386" s="798" t="s">
        <v>62</v>
      </c>
      <c r="J386" s="798" t="s">
        <v>253</v>
      </c>
      <c r="K386" s="804" t="str">
        <f>VLOOKUP(J386,RKPANL!B:D,2,0)</f>
        <v>Memasang 1 bh kunci tanam</v>
      </c>
      <c r="L386" s="800">
        <f>VLOOKUP(J386,RKPANL!B:D,3,0)</f>
        <v>305698.75</v>
      </c>
      <c r="M386" s="801">
        <f>L386*H386</f>
        <v>611397.5</v>
      </c>
    </row>
    <row r="387" spans="2:13" ht="15.6" outlineLevel="2">
      <c r="B387" s="793"/>
      <c r="C387" s="848"/>
      <c r="D387" s="794">
        <v>2</v>
      </c>
      <c r="E387" s="812" t="s">
        <v>500</v>
      </c>
      <c r="F387" s="795"/>
      <c r="G387" s="817"/>
      <c r="H387" s="797">
        <v>1</v>
      </c>
      <c r="I387" s="798" t="s">
        <v>62</v>
      </c>
      <c r="J387" s="798" t="s">
        <v>854</v>
      </c>
      <c r="K387" s="804" t="str">
        <f>VLOOKUP(J387,RKPANL!B:D,2,0)</f>
        <v>Memasang 1 bh handle Pintu</v>
      </c>
      <c r="L387" s="800">
        <f>VLOOKUP(J387,RKPANL!B:D,3,0)</f>
        <v>398618.75</v>
      </c>
      <c r="M387" s="801">
        <f>L387*H387</f>
        <v>398618.75</v>
      </c>
    </row>
    <row r="388" spans="2:13" ht="15.6" outlineLevel="2">
      <c r="B388" s="793"/>
      <c r="C388" s="848"/>
      <c r="D388" s="794">
        <v>3</v>
      </c>
      <c r="E388" s="812" t="s">
        <v>488</v>
      </c>
      <c r="F388" s="795"/>
      <c r="G388" s="817"/>
      <c r="H388" s="797">
        <v>1</v>
      </c>
      <c r="I388" s="798" t="s">
        <v>62</v>
      </c>
      <c r="J388" s="798" t="s">
        <v>856</v>
      </c>
      <c r="K388" s="804" t="str">
        <f>VLOOKUP(J388,RKPANL!B:D,2,0)</f>
        <v>Memasang 1 bh engsel jendela Alumunium</v>
      </c>
      <c r="L388" s="800">
        <f>VLOOKUP(J388,RKPANL!B:D,3,0)</f>
        <v>112714.375</v>
      </c>
      <c r="M388" s="801">
        <f>L388*H388</f>
        <v>112714.375</v>
      </c>
    </row>
    <row r="389" spans="2:13" outlineLevel="2">
      <c r="B389" s="793"/>
      <c r="C389" s="802"/>
      <c r="D389" s="794">
        <v>4</v>
      </c>
      <c r="E389" s="795" t="s">
        <v>700</v>
      </c>
      <c r="F389" s="795"/>
      <c r="G389" s="796"/>
      <c r="H389" s="797">
        <f>(3.2+8.6)*3</f>
        <v>35.400000000000006</v>
      </c>
      <c r="I389" s="798" t="s">
        <v>133</v>
      </c>
      <c r="J389" s="798" t="s">
        <v>429</v>
      </c>
      <c r="K389" s="804" t="e">
        <f>VLOOKUP(J389,RKPANL!B:D,2,0)</f>
        <v>#N/A</v>
      </c>
      <c r="L389" s="800">
        <v>500000</v>
      </c>
      <c r="M389" s="801">
        <f>L389*H389</f>
        <v>17700000.000000004</v>
      </c>
    </row>
    <row r="390" spans="2:13" ht="15.6" outlineLevel="2">
      <c r="B390" s="851"/>
      <c r="C390" s="848"/>
      <c r="D390" s="794"/>
      <c r="E390" s="794"/>
      <c r="F390" s="795"/>
      <c r="G390" s="817"/>
      <c r="H390" s="797"/>
      <c r="I390" s="798"/>
      <c r="J390" s="798"/>
      <c r="K390" s="804"/>
      <c r="L390" s="800"/>
      <c r="M390" s="801"/>
    </row>
    <row r="391" spans="2:13" ht="15.6" outlineLevel="2">
      <c r="B391" s="793"/>
      <c r="C391" s="848" t="s">
        <v>18</v>
      </c>
      <c r="D391" s="696" t="s">
        <v>422</v>
      </c>
      <c r="E391" s="849"/>
      <c r="F391" s="795"/>
      <c r="G391" s="817"/>
      <c r="H391" s="797"/>
      <c r="I391" s="798"/>
      <c r="J391" s="798"/>
      <c r="K391" s="804"/>
      <c r="L391" s="800"/>
      <c r="M391" s="801"/>
    </row>
    <row r="392" spans="2:13" ht="15.6" outlineLevel="2">
      <c r="B392" s="793"/>
      <c r="C392" s="848"/>
      <c r="D392" s="850">
        <v>1</v>
      </c>
      <c r="E392" s="845" t="s">
        <v>445</v>
      </c>
      <c r="F392" s="795"/>
      <c r="G392" s="817"/>
      <c r="H392" s="797">
        <v>133</v>
      </c>
      <c r="I392" s="798" t="s">
        <v>133</v>
      </c>
      <c r="J392" s="798" t="s">
        <v>611</v>
      </c>
      <c r="K392" s="804" t="str">
        <f>VLOOKUP(J392,RKPANL!B:D,2,0)</f>
        <v>Pengecatan 1 m2 Tembok Lama (1 Lapis Cat Dasar, 2 Lapis Cat 
Penutup) 
lapis cat penutup)</v>
      </c>
      <c r="L392" s="800">
        <f>VLOOKUP(J392,RKPANL!B:D,3,0)</f>
        <v>43204.35</v>
      </c>
      <c r="M392" s="801">
        <f>L392*H392</f>
        <v>5746178.5499999998</v>
      </c>
    </row>
    <row r="393" spans="2:13" outlineLevel="2">
      <c r="B393" s="793"/>
      <c r="C393" s="802"/>
      <c r="D393" s="794"/>
      <c r="E393" s="795"/>
      <c r="F393" s="795"/>
      <c r="G393" s="796"/>
      <c r="H393" s="797"/>
      <c r="I393" s="798"/>
      <c r="J393" s="798"/>
      <c r="K393" s="841"/>
      <c r="L393" s="800"/>
      <c r="M393" s="801"/>
    </row>
    <row r="394" spans="2:13" ht="15.6" outlineLevel="1">
      <c r="B394" s="842"/>
      <c r="C394" s="843"/>
      <c r="D394" s="853"/>
      <c r="E394" s="843"/>
      <c r="F394" s="843"/>
      <c r="G394" s="843"/>
      <c r="H394" s="809"/>
      <c r="I394" s="843"/>
      <c r="J394" s="843"/>
      <c r="K394" s="809"/>
      <c r="L394" s="883" t="s">
        <v>862</v>
      </c>
      <c r="M394" s="810">
        <f>SUM(M377:M393)</f>
        <v>41368909.174999997</v>
      </c>
    </row>
    <row r="395" spans="2:13" ht="15.6" outlineLevel="1">
      <c r="B395" s="880"/>
      <c r="C395" s="881" t="s">
        <v>814</v>
      </c>
      <c r="D395" s="696" t="s">
        <v>465</v>
      </c>
      <c r="E395" s="875"/>
      <c r="F395" s="795"/>
      <c r="G395" s="796"/>
      <c r="H395" s="797"/>
      <c r="I395" s="798"/>
      <c r="J395" s="798"/>
      <c r="K395" s="895"/>
      <c r="L395" s="877"/>
      <c r="M395" s="878"/>
    </row>
    <row r="396" spans="2:13" ht="15.6" outlineLevel="2">
      <c r="B396" s="793"/>
      <c r="C396" s="848" t="s">
        <v>2</v>
      </c>
      <c r="D396" s="696" t="s">
        <v>466</v>
      </c>
      <c r="E396" s="849"/>
      <c r="F396" s="795"/>
      <c r="G396" s="796"/>
      <c r="H396" s="797"/>
      <c r="I396" s="798"/>
      <c r="J396" s="798"/>
      <c r="K396" s="804"/>
      <c r="L396" s="800"/>
      <c r="M396" s="801"/>
    </row>
    <row r="397" spans="2:13" outlineLevel="2">
      <c r="B397" s="793"/>
      <c r="C397" s="802"/>
      <c r="D397" s="794">
        <v>1</v>
      </c>
      <c r="E397" s="795" t="s">
        <v>899</v>
      </c>
      <c r="F397" s="795"/>
      <c r="G397" s="796"/>
      <c r="H397" s="797">
        <v>1</v>
      </c>
      <c r="I397" s="798" t="s">
        <v>20</v>
      </c>
      <c r="J397" s="798" t="s">
        <v>73</v>
      </c>
      <c r="K397" s="804" t="e">
        <f>VLOOKUP(J397,RKPANL!B:D,2,0)</f>
        <v>#N/A</v>
      </c>
      <c r="L397" s="800">
        <v>2000000</v>
      </c>
      <c r="M397" s="801">
        <f>L397*H397</f>
        <v>2000000</v>
      </c>
    </row>
    <row r="398" spans="2:13" outlineLevel="2">
      <c r="B398" s="793"/>
      <c r="C398" s="802"/>
      <c r="D398" s="794">
        <v>2</v>
      </c>
      <c r="E398" s="795" t="s">
        <v>469</v>
      </c>
      <c r="F398" s="795"/>
      <c r="G398" s="796"/>
      <c r="H398" s="797"/>
      <c r="I398" s="798"/>
      <c r="J398" s="798"/>
      <c r="K398" s="804"/>
      <c r="L398" s="800"/>
      <c r="M398" s="801"/>
    </row>
    <row r="399" spans="2:13" outlineLevel="2">
      <c r="B399" s="793"/>
      <c r="C399" s="802"/>
      <c r="D399" s="794"/>
      <c r="E399" s="803" t="s">
        <v>850</v>
      </c>
      <c r="F399" s="795"/>
      <c r="G399" s="796"/>
      <c r="H399" s="797">
        <f>M!R37</f>
        <v>0.375</v>
      </c>
      <c r="I399" s="798" t="str">
        <f>M!S37</f>
        <v>M3</v>
      </c>
      <c r="J399" s="798" t="s">
        <v>439</v>
      </c>
      <c r="K399" s="804" t="str">
        <f>VLOOKUP(J399,RKPANL!B:D,2,0)</f>
        <v>Membuat 1 m3 beton mutu f’c = 14,5 Mpa (K175)</v>
      </c>
      <c r="L399" s="800">
        <f>VLOOKUP(J399,RKPANL!B:D,3,0)</f>
        <v>1342419.010989011</v>
      </c>
      <c r="M399" s="801">
        <f t="shared" ref="M399:M402" si="13">L399*H399</f>
        <v>503407.12912087911</v>
      </c>
    </row>
    <row r="400" spans="2:13" outlineLevel="2">
      <c r="B400" s="793"/>
      <c r="C400" s="802"/>
      <c r="D400" s="794"/>
      <c r="E400" s="803" t="s">
        <v>851</v>
      </c>
      <c r="F400" s="795"/>
      <c r="G400" s="796"/>
      <c r="H400" s="797">
        <f>M!R43</f>
        <v>44.368200000000002</v>
      </c>
      <c r="I400" s="798" t="str">
        <f>M!S43</f>
        <v>Kg</v>
      </c>
      <c r="J400" s="798" t="s">
        <v>105</v>
      </c>
      <c r="K400" s="804" t="str">
        <f>VLOOKUP(J400,RKPANL!B:D,2,0)</f>
        <v xml:space="preserve">Pembesian 1 kg dengan besi polos Pembesian untuk 10 kg dengan besi polos </v>
      </c>
      <c r="L400" s="800">
        <f>VLOOKUP(J400,RKPANL!B:D,3,0)</f>
        <v>19744.349999999999</v>
      </c>
      <c r="M400" s="801">
        <f t="shared" si="13"/>
        <v>876021.26966999995</v>
      </c>
    </row>
    <row r="401" spans="2:13" outlineLevel="2">
      <c r="B401" s="793"/>
      <c r="C401" s="802"/>
      <c r="D401" s="794"/>
      <c r="E401" s="803" t="s">
        <v>892</v>
      </c>
      <c r="F401" s="795"/>
      <c r="G401" s="796"/>
      <c r="H401" s="797">
        <f>M!R44</f>
        <v>22.67708</v>
      </c>
      <c r="I401" s="798" t="str">
        <f>M!S44</f>
        <v>Kg</v>
      </c>
      <c r="J401" s="798" t="s">
        <v>105</v>
      </c>
      <c r="K401" s="804" t="str">
        <f>VLOOKUP(J401,RKPANL!B:D,2,0)</f>
        <v xml:space="preserve">Pembesian 1 kg dengan besi polos Pembesian untuk 10 kg dengan besi polos </v>
      </c>
      <c r="L401" s="800">
        <f>VLOOKUP(J401,RKPANL!B:D,3,0)</f>
        <v>19744.349999999999</v>
      </c>
      <c r="M401" s="801">
        <f t="shared" si="13"/>
        <v>447744.20449799998</v>
      </c>
    </row>
    <row r="402" spans="2:13" outlineLevel="2">
      <c r="B402" s="793"/>
      <c r="C402" s="802"/>
      <c r="D402" s="794"/>
      <c r="E402" s="803" t="s">
        <v>244</v>
      </c>
      <c r="F402" s="795"/>
      <c r="G402" s="796"/>
      <c r="H402" s="797">
        <f>M!R57</f>
        <v>6.875</v>
      </c>
      <c r="I402" s="798" t="str">
        <f>M!S57</f>
        <v>M2</v>
      </c>
      <c r="J402" s="798" t="s">
        <v>108</v>
      </c>
      <c r="K402" s="804" t="str">
        <f>VLOOKUP(J402,RKPANL!B:D,2,0)</f>
        <v>Pemasangan 1 m2 bekisting untuk sloof / kolom praktis</v>
      </c>
      <c r="L402" s="800">
        <f>VLOOKUP(J402,RKPANL!B:D,3,0)</f>
        <v>318285.5</v>
      </c>
      <c r="M402" s="801">
        <f t="shared" si="13"/>
        <v>2188212.8125</v>
      </c>
    </row>
    <row r="403" spans="2:13" outlineLevel="2">
      <c r="B403" s="793"/>
      <c r="C403" s="802"/>
      <c r="D403" s="794">
        <v>3</v>
      </c>
      <c r="E403" s="795" t="s">
        <v>713</v>
      </c>
      <c r="F403" s="795"/>
      <c r="G403" s="796"/>
      <c r="H403" s="797">
        <f>M!R61</f>
        <v>16</v>
      </c>
      <c r="I403" s="798" t="str">
        <f>M!S61</f>
        <v>M'</v>
      </c>
      <c r="J403" s="798" t="s">
        <v>178</v>
      </c>
      <c r="K403" s="804" t="str">
        <f>VLOOKUP(J403,RKPANL!B:D,2,0)</f>
        <v>Membuat 1 m’ kolom praktis beton bertulang (11 x 11) cm</v>
      </c>
      <c r="L403" s="800">
        <f>VLOOKUP(J403,RKPANL!B:D,3,0)</f>
        <v>119594.25</v>
      </c>
      <c r="M403" s="801">
        <f>L403*H403</f>
        <v>1913508</v>
      </c>
    </row>
    <row r="404" spans="2:13" outlineLevel="2">
      <c r="B404" s="793"/>
      <c r="C404" s="802"/>
      <c r="D404" s="794"/>
      <c r="E404" s="812"/>
      <c r="F404" s="795"/>
      <c r="G404" s="796"/>
      <c r="H404" s="797"/>
      <c r="I404" s="798"/>
      <c r="J404" s="798"/>
      <c r="K404" s="804"/>
      <c r="L404" s="800"/>
      <c r="M404" s="801"/>
    </row>
    <row r="405" spans="2:13" ht="15.6" outlineLevel="2">
      <c r="B405" s="793"/>
      <c r="C405" s="848" t="s">
        <v>16</v>
      </c>
      <c r="D405" s="696" t="s">
        <v>648</v>
      </c>
      <c r="E405" s="849"/>
      <c r="F405" s="795"/>
      <c r="G405" s="817"/>
      <c r="H405" s="797"/>
      <c r="I405" s="798"/>
      <c r="J405" s="798"/>
      <c r="K405" s="804"/>
      <c r="L405" s="800"/>
      <c r="M405" s="801"/>
    </row>
    <row r="406" spans="2:13" ht="15.6" outlineLevel="2">
      <c r="B406" s="793"/>
      <c r="C406" s="848"/>
      <c r="D406" s="794">
        <v>1</v>
      </c>
      <c r="E406" s="812" t="s">
        <v>468</v>
      </c>
      <c r="F406" s="795"/>
      <c r="G406" s="817"/>
      <c r="H406" s="797">
        <f>(2*4)+(1.5*3)*3.5</f>
        <v>23.75</v>
      </c>
      <c r="I406" s="798" t="s">
        <v>133</v>
      </c>
      <c r="J406" s="798" t="s">
        <v>206</v>
      </c>
      <c r="K406" s="804" t="str">
        <f>VLOOKUP(J406,RKPANL!B:D,2,0)</f>
        <v>Pemasangan 1 m2 dinding bata merah (5x11x22) cm tebal ½ batu
campuran 1SP :4PP</v>
      </c>
      <c r="L406" s="800">
        <f>VLOOKUP(J406,RKPANL!B:D,3,0)</f>
        <v>143836.25</v>
      </c>
      <c r="M406" s="801">
        <f t="shared" ref="M406:M410" si="14">L406*H406</f>
        <v>3416110.9375</v>
      </c>
    </row>
    <row r="407" spans="2:13" ht="15.6" outlineLevel="2">
      <c r="B407" s="793"/>
      <c r="C407" s="848"/>
      <c r="D407" s="794">
        <v>2</v>
      </c>
      <c r="E407" s="812" t="s">
        <v>365</v>
      </c>
      <c r="F407" s="795"/>
      <c r="G407" s="817"/>
      <c r="H407" s="797">
        <f>H406*1</f>
        <v>23.75</v>
      </c>
      <c r="I407" s="798" t="s">
        <v>133</v>
      </c>
      <c r="J407" s="798" t="s">
        <v>112</v>
      </c>
      <c r="K407" s="804" t="str">
        <f>VLOOKUP(J407,RKPANL!B:D,2,0)</f>
        <v>Pemasangan 1 m2 plesteran 1SP : 4PP tebal 15 mm</v>
      </c>
      <c r="L407" s="800">
        <f>VLOOKUP(J407,RKPANL!B:D,3,0)</f>
        <v>92152.95</v>
      </c>
      <c r="M407" s="801">
        <f t="shared" si="14"/>
        <v>2188632.5625</v>
      </c>
    </row>
    <row r="408" spans="2:13" ht="15.6" outlineLevel="2">
      <c r="B408" s="793"/>
      <c r="C408" s="848"/>
      <c r="D408" s="794">
        <v>3</v>
      </c>
      <c r="E408" s="812" t="s">
        <v>452</v>
      </c>
      <c r="F408" s="795"/>
      <c r="G408" s="817"/>
      <c r="H408" s="797">
        <f>H407</f>
        <v>23.75</v>
      </c>
      <c r="I408" s="798" t="s">
        <v>133</v>
      </c>
      <c r="J408" s="798" t="s">
        <v>113</v>
      </c>
      <c r="K408" s="804" t="str">
        <f>VLOOKUP(J408,RKPANL!B:D,2,0)</f>
        <v>Pemasangan 1 m2 acian.</v>
      </c>
      <c r="L408" s="800">
        <f>VLOOKUP(J408,RKPANL!B:D,3,0)</f>
        <v>56896.25</v>
      </c>
      <c r="M408" s="801">
        <f t="shared" si="14"/>
        <v>1351285.9375</v>
      </c>
    </row>
    <row r="409" spans="2:13" ht="15.6" outlineLevel="2">
      <c r="B409" s="793"/>
      <c r="C409" s="848"/>
      <c r="D409" s="794">
        <v>4</v>
      </c>
      <c r="E409" s="795" t="s">
        <v>909</v>
      </c>
      <c r="F409" s="795"/>
      <c r="G409" s="817"/>
      <c r="H409" s="797">
        <f>2*1.5*3</f>
        <v>9</v>
      </c>
      <c r="I409" s="798" t="s">
        <v>133</v>
      </c>
      <c r="J409" s="798" t="s">
        <v>618</v>
      </c>
      <c r="K409" s="804" t="str">
        <f>VLOOKUP(J409,RKPANL!B:D,2,0)</f>
        <v>Pemasangan 1m2 lantai granite ukuran 60cm x 60cm</v>
      </c>
      <c r="L409" s="800">
        <f>VLOOKUP(J409,RKPANL!B:D,3,0)</f>
        <v>513423.25</v>
      </c>
      <c r="M409" s="801">
        <f t="shared" si="14"/>
        <v>4620809.25</v>
      </c>
    </row>
    <row r="410" spans="2:13" ht="15.6" outlineLevel="2">
      <c r="B410" s="793"/>
      <c r="C410" s="848"/>
      <c r="D410" s="794">
        <v>5</v>
      </c>
      <c r="E410" s="795" t="s">
        <v>910</v>
      </c>
      <c r="F410" s="795"/>
      <c r="G410" s="817"/>
      <c r="H410" s="797">
        <f>(2*6*2)+(1.5*5*2)</f>
        <v>39</v>
      </c>
      <c r="I410" s="798" t="s">
        <v>133</v>
      </c>
      <c r="J410" s="798" t="s">
        <v>860</v>
      </c>
      <c r="K410" s="804" t="str">
        <f>VLOOKUP(J410,RKPANL!B:D,2,0)</f>
        <v>Pemasangan 1m2 Dinding granite ukuran 60cm x 60cm</v>
      </c>
      <c r="L410" s="800">
        <f>VLOOKUP(J410,RKPANL!B:D,3,0)</f>
        <v>563965.75</v>
      </c>
      <c r="M410" s="801">
        <f t="shared" si="14"/>
        <v>21994664.25</v>
      </c>
    </row>
    <row r="411" spans="2:13" ht="15.6" outlineLevel="2">
      <c r="B411" s="851"/>
      <c r="C411" s="848"/>
      <c r="D411" s="794"/>
      <c r="E411" s="794"/>
      <c r="F411" s="795"/>
      <c r="G411" s="817"/>
      <c r="H411" s="797"/>
      <c r="I411" s="798"/>
      <c r="J411" s="798"/>
      <c r="K411" s="804"/>
      <c r="L411" s="800"/>
      <c r="M411" s="801"/>
    </row>
    <row r="412" spans="2:13" ht="15.6" outlineLevel="2">
      <c r="B412" s="793"/>
      <c r="C412" s="848" t="s">
        <v>17</v>
      </c>
      <c r="D412" s="696" t="s">
        <v>486</v>
      </c>
      <c r="E412" s="849"/>
      <c r="F412" s="795"/>
      <c r="G412" s="817"/>
      <c r="H412" s="797"/>
      <c r="I412" s="798"/>
      <c r="J412" s="798"/>
      <c r="K412" s="804"/>
      <c r="L412" s="800"/>
      <c r="M412" s="801"/>
    </row>
    <row r="413" spans="2:13" ht="15.6" outlineLevel="2">
      <c r="B413" s="793"/>
      <c r="C413" s="848"/>
      <c r="D413" s="794">
        <v>1</v>
      </c>
      <c r="E413" s="812" t="s">
        <v>696</v>
      </c>
      <c r="F413" s="795"/>
      <c r="G413" s="817"/>
      <c r="H413" s="797">
        <v>2</v>
      </c>
      <c r="I413" s="798" t="s">
        <v>62</v>
      </c>
      <c r="J413" s="798" t="s">
        <v>73</v>
      </c>
      <c r="K413" s="804" t="e">
        <f>VLOOKUP(J413,RKPANL!B:D,2,0)</f>
        <v>#N/A</v>
      </c>
      <c r="L413" s="800">
        <v>2500000</v>
      </c>
      <c r="M413" s="801">
        <f>L413*H413</f>
        <v>5000000</v>
      </c>
    </row>
    <row r="414" spans="2:13" ht="15.6" outlineLevel="2">
      <c r="B414" s="793"/>
      <c r="C414" s="848"/>
      <c r="D414" s="794">
        <v>2</v>
      </c>
      <c r="E414" s="812" t="s">
        <v>697</v>
      </c>
      <c r="F414" s="795"/>
      <c r="G414" s="817"/>
      <c r="H414" s="797">
        <v>3</v>
      </c>
      <c r="I414" s="798" t="s">
        <v>62</v>
      </c>
      <c r="J414" s="798" t="s">
        <v>73</v>
      </c>
      <c r="K414" s="804" t="e">
        <f>VLOOKUP(J414,RKPANL!B:D,2,0)</f>
        <v>#N/A</v>
      </c>
      <c r="L414" s="800">
        <v>1200000</v>
      </c>
      <c r="M414" s="801">
        <f>L414*H414</f>
        <v>3600000</v>
      </c>
    </row>
    <row r="415" spans="2:13" ht="15.6" outlineLevel="2">
      <c r="B415" s="793"/>
      <c r="C415" s="848"/>
      <c r="D415" s="794"/>
      <c r="E415" s="812"/>
      <c r="F415" s="795"/>
      <c r="G415" s="817"/>
      <c r="H415" s="797"/>
      <c r="I415" s="798"/>
      <c r="J415" s="798"/>
      <c r="K415" s="804"/>
      <c r="L415" s="800"/>
      <c r="M415" s="801"/>
    </row>
    <row r="416" spans="2:13" ht="15.6" outlineLevel="2">
      <c r="B416" s="793"/>
      <c r="C416" s="848" t="s">
        <v>18</v>
      </c>
      <c r="D416" s="696" t="s">
        <v>424</v>
      </c>
      <c r="E416" s="849"/>
      <c r="F416" s="795"/>
      <c r="G416" s="817"/>
      <c r="H416" s="797"/>
      <c r="I416" s="798"/>
      <c r="J416" s="798"/>
      <c r="K416" s="804"/>
      <c r="L416" s="800"/>
      <c r="M416" s="801"/>
    </row>
    <row r="417" spans="2:13" ht="15.6" outlineLevel="2">
      <c r="B417" s="793"/>
      <c r="C417" s="848"/>
      <c r="D417" s="794">
        <v>1</v>
      </c>
      <c r="E417" s="812" t="s">
        <v>425</v>
      </c>
      <c r="F417" s="795"/>
      <c r="G417" s="817"/>
      <c r="H417" s="797">
        <f>2*1.5*3</f>
        <v>9</v>
      </c>
      <c r="I417" s="798" t="s">
        <v>133</v>
      </c>
      <c r="J417" s="829" t="s">
        <v>661</v>
      </c>
      <c r="K417" s="804" t="e">
        <f>VLOOKUP(J417,RKPANL!B:D,2,0)</f>
        <v>#N/A</v>
      </c>
      <c r="L417" s="800">
        <v>150000</v>
      </c>
      <c r="M417" s="801">
        <f>L417*H417</f>
        <v>1350000</v>
      </c>
    </row>
    <row r="418" spans="2:13" ht="15.6" outlineLevel="2">
      <c r="B418" s="793"/>
      <c r="C418" s="848"/>
      <c r="D418" s="794">
        <v>2</v>
      </c>
      <c r="E418" s="812" t="s">
        <v>649</v>
      </c>
      <c r="F418" s="795"/>
      <c r="G418" s="817"/>
      <c r="H418" s="797">
        <f>2*2*2</f>
        <v>8</v>
      </c>
      <c r="I418" s="798" t="s">
        <v>133</v>
      </c>
      <c r="J418" s="798" t="s">
        <v>278</v>
      </c>
      <c r="K418" s="804" t="str">
        <f>VLOOKUP(J418,RKPANL!B:D,2,0)</f>
        <v xml:space="preserve">Pemasangan 1 m2 langit-langit Pvc t 8mm </v>
      </c>
      <c r="L418" s="800">
        <f>VLOOKUP(J418,RKPANL!B:D,3,0)</f>
        <v>153475</v>
      </c>
      <c r="M418" s="801">
        <f>L418*H418</f>
        <v>1227800</v>
      </c>
    </row>
    <row r="419" spans="2:13" ht="15.6" outlineLevel="2">
      <c r="B419" s="793"/>
      <c r="C419" s="848"/>
      <c r="D419" s="794">
        <v>3</v>
      </c>
      <c r="E419" s="812" t="s">
        <v>463</v>
      </c>
      <c r="F419" s="795"/>
      <c r="G419" s="817"/>
      <c r="H419" s="797">
        <f>(2*6)+(1.5*5)</f>
        <v>19.5</v>
      </c>
      <c r="I419" s="798" t="s">
        <v>21</v>
      </c>
      <c r="J419" s="798" t="s">
        <v>280</v>
      </c>
      <c r="K419" s="804" t="str">
        <f>VLOOKUP(J419,RKPANL!B:D,2,0)</f>
        <v xml:space="preserve">Pemasangan 1 m' List plafond PVC </v>
      </c>
      <c r="L419" s="800">
        <f>VLOOKUP(J419,RKPANL!B:D,3,0)</f>
        <v>44020.75</v>
      </c>
      <c r="M419" s="801">
        <f>L419*H419</f>
        <v>858404.625</v>
      </c>
    </row>
    <row r="420" spans="2:13" ht="15.6" outlineLevel="2">
      <c r="B420" s="851"/>
      <c r="C420" s="848"/>
      <c r="D420" s="794"/>
      <c r="E420" s="794"/>
      <c r="F420" s="795"/>
      <c r="G420" s="817"/>
      <c r="H420" s="797"/>
      <c r="I420" s="798"/>
      <c r="J420" s="798"/>
      <c r="K420" s="804"/>
      <c r="L420" s="800"/>
      <c r="M420" s="801"/>
    </row>
    <row r="421" spans="2:13" ht="15.6" outlineLevel="2">
      <c r="B421" s="793"/>
      <c r="C421" s="848" t="s">
        <v>19</v>
      </c>
      <c r="D421" s="696" t="s">
        <v>467</v>
      </c>
      <c r="E421" s="849"/>
      <c r="F421" s="795"/>
      <c r="G421" s="817"/>
      <c r="H421" s="797"/>
      <c r="I421" s="798"/>
      <c r="J421" s="798"/>
      <c r="K421" s="804"/>
      <c r="L421" s="800"/>
      <c r="M421" s="801"/>
    </row>
    <row r="422" spans="2:13" ht="15.6" outlineLevel="2">
      <c r="B422" s="793"/>
      <c r="C422" s="848"/>
      <c r="D422" s="794">
        <v>1</v>
      </c>
      <c r="E422" s="812" t="s">
        <v>475</v>
      </c>
      <c r="F422" s="795"/>
      <c r="G422" s="817"/>
      <c r="H422" s="797">
        <v>1</v>
      </c>
      <c r="I422" s="798" t="s">
        <v>62</v>
      </c>
      <c r="J422" s="798" t="s">
        <v>733</v>
      </c>
      <c r="K422" s="804" t="str">
        <f>VLOOKUP(J422,RKPANL!B:D,2,0)</f>
        <v>Pemasangan 1 buah closet duduk/monoblock</v>
      </c>
      <c r="L422" s="800">
        <f>VLOOKUP(J422,RKPANL!B:D,3,0)</f>
        <v>5594750</v>
      </c>
      <c r="M422" s="801">
        <f t="shared" ref="M422:M429" si="15">L422*H422</f>
        <v>5594750</v>
      </c>
    </row>
    <row r="423" spans="2:13" ht="15.6" outlineLevel="2">
      <c r="B423" s="793"/>
      <c r="C423" s="848"/>
      <c r="D423" s="794">
        <v>2</v>
      </c>
      <c r="E423" s="812" t="s">
        <v>474</v>
      </c>
      <c r="F423" s="795"/>
      <c r="G423" s="817"/>
      <c r="H423" s="797">
        <v>1</v>
      </c>
      <c r="I423" s="798" t="s">
        <v>62</v>
      </c>
      <c r="J423" s="798" t="s">
        <v>739</v>
      </c>
      <c r="K423" s="804" t="str">
        <f>VLOOKUP(J423,RKPANL!B:D,2,0)</f>
        <v>Pemasangan 1 buah wastafel</v>
      </c>
      <c r="L423" s="800">
        <f>VLOOKUP(J423,RKPANL!B:D,3,0)</f>
        <v>2767705</v>
      </c>
      <c r="M423" s="801">
        <f t="shared" si="15"/>
        <v>2767705</v>
      </c>
    </row>
    <row r="424" spans="2:13" ht="15.6" outlineLevel="2">
      <c r="B424" s="793"/>
      <c r="C424" s="848"/>
      <c r="D424" s="794">
        <v>3</v>
      </c>
      <c r="E424" s="812" t="s">
        <v>470</v>
      </c>
      <c r="F424" s="795"/>
      <c r="G424" s="817"/>
      <c r="H424" s="797">
        <v>1</v>
      </c>
      <c r="I424" s="798" t="s">
        <v>62</v>
      </c>
      <c r="J424" s="829" t="s">
        <v>924</v>
      </c>
      <c r="K424" s="804" t="str">
        <f>VLOOKUP(J424,RKPANL!B:D,2,0)</f>
        <v>Pemasangan 1 buah Urinoir</v>
      </c>
      <c r="L424" s="800">
        <f>VLOOKUP(J424,RKPANL!B:D,3,0)</f>
        <v>4285705</v>
      </c>
      <c r="M424" s="801">
        <f t="shared" si="15"/>
        <v>4285705</v>
      </c>
    </row>
    <row r="425" spans="2:13" ht="15.6" outlineLevel="2">
      <c r="B425" s="793"/>
      <c r="C425" s="848"/>
      <c r="D425" s="794">
        <v>4</v>
      </c>
      <c r="E425" s="812" t="s">
        <v>418</v>
      </c>
      <c r="F425" s="795"/>
      <c r="G425" s="817"/>
      <c r="H425" s="797">
        <v>1</v>
      </c>
      <c r="I425" s="798" t="s">
        <v>62</v>
      </c>
      <c r="J425" s="798" t="s">
        <v>750</v>
      </c>
      <c r="K425" s="804" t="str">
        <f>VLOOKUP(J425,RKPANL!B:D,2,0)</f>
        <v>Pemasangan 1 buah floor drain</v>
      </c>
      <c r="L425" s="800">
        <f>VLOOKUP(J425,RKPANL!B:D,3,0)</f>
        <v>161028.75</v>
      </c>
      <c r="M425" s="801">
        <f t="shared" si="15"/>
        <v>161028.75</v>
      </c>
    </row>
    <row r="426" spans="2:13" ht="15.6" outlineLevel="2">
      <c r="B426" s="793"/>
      <c r="C426" s="848"/>
      <c r="D426" s="794">
        <v>5</v>
      </c>
      <c r="E426" s="812" t="s">
        <v>471</v>
      </c>
      <c r="F426" s="795"/>
      <c r="G426" s="817"/>
      <c r="H426" s="797">
        <v>2</v>
      </c>
      <c r="I426" s="798" t="s">
        <v>23</v>
      </c>
      <c r="J426" s="798" t="s">
        <v>780</v>
      </c>
      <c r="K426" s="804" t="str">
        <f>VLOOKUP(J426,RKPANL!B:D,2,0)</f>
        <v>Pemasangan 1 buah Tempat Sabun</v>
      </c>
      <c r="L426" s="800">
        <f>VLOOKUP(J426,RKPANL!B:D,3,0)</f>
        <v>256593.75</v>
      </c>
      <c r="M426" s="801">
        <f t="shared" si="15"/>
        <v>513187.5</v>
      </c>
    </row>
    <row r="427" spans="2:13" ht="15.6" outlineLevel="2">
      <c r="B427" s="793"/>
      <c r="C427" s="848"/>
      <c r="D427" s="794">
        <v>6</v>
      </c>
      <c r="E427" s="812" t="s">
        <v>472</v>
      </c>
      <c r="F427" s="795"/>
      <c r="G427" s="817"/>
      <c r="H427" s="797">
        <v>1</v>
      </c>
      <c r="I427" s="798" t="s">
        <v>22</v>
      </c>
      <c r="J427" s="855" t="s">
        <v>771</v>
      </c>
      <c r="K427" s="804" t="str">
        <f>VLOOKUP(J427,RKPANL!B:D,2,0)</f>
        <v>Pemasangan 1 buah Shower Kran Bidet</v>
      </c>
      <c r="L427" s="800">
        <f>VLOOKUP(J427,RKPANL!B:D,3,0)</f>
        <v>268093.75</v>
      </c>
      <c r="M427" s="801">
        <f t="shared" si="15"/>
        <v>268093.75</v>
      </c>
    </row>
    <row r="428" spans="2:13" ht="15.6" outlineLevel="2">
      <c r="B428" s="793"/>
      <c r="C428" s="848"/>
      <c r="D428" s="794">
        <v>7</v>
      </c>
      <c r="E428" s="812" t="s">
        <v>714</v>
      </c>
      <c r="F428" s="795"/>
      <c r="G428" s="817"/>
      <c r="H428" s="797">
        <v>1</v>
      </c>
      <c r="I428" s="798" t="s">
        <v>22</v>
      </c>
      <c r="J428" s="855" t="s">
        <v>779</v>
      </c>
      <c r="K428" s="804" t="str">
        <f>VLOOKUP(J428,RKPANL!B:D,2,0)</f>
        <v>Pemasangan 1 buah Stop Kran Ball Valve 1"</v>
      </c>
      <c r="L428" s="800">
        <f>VLOOKUP(J428,RKPANL!B:D,3,0)</f>
        <v>383093.75</v>
      </c>
      <c r="M428" s="801">
        <f t="shared" ref="M428" si="16">L428*H428</f>
        <v>383093.75</v>
      </c>
    </row>
    <row r="429" spans="2:13" ht="15.6" outlineLevel="2">
      <c r="B429" s="793"/>
      <c r="C429" s="848"/>
      <c r="D429" s="794">
        <v>8</v>
      </c>
      <c r="E429" s="856" t="s">
        <v>416</v>
      </c>
      <c r="F429" s="795"/>
      <c r="G429" s="817"/>
      <c r="H429" s="797">
        <v>1</v>
      </c>
      <c r="I429" s="798" t="s">
        <v>22</v>
      </c>
      <c r="J429" s="798" t="s">
        <v>753</v>
      </c>
      <c r="K429" s="804" t="str">
        <f>VLOOKUP(J429,RKPANL!B:D,2,0)</f>
        <v>Pemasangan 1 buah kran diameter ½” atau ¾ ”</v>
      </c>
      <c r="L429" s="800">
        <f>VLOOKUP(J429,RKPANL!B:D,3,0)</f>
        <v>141881.25</v>
      </c>
      <c r="M429" s="801">
        <f t="shared" si="15"/>
        <v>141881.25</v>
      </c>
    </row>
    <row r="430" spans="2:13" ht="15.6" outlineLevel="2">
      <c r="B430" s="851"/>
      <c r="C430" s="848"/>
      <c r="D430" s="794"/>
      <c r="E430" s="794"/>
      <c r="F430" s="795"/>
      <c r="G430" s="817"/>
      <c r="H430" s="797"/>
      <c r="I430" s="798"/>
      <c r="J430" s="798"/>
      <c r="K430" s="804"/>
      <c r="L430" s="800"/>
      <c r="M430" s="801"/>
    </row>
    <row r="431" spans="2:13" ht="15.6" outlineLevel="2">
      <c r="B431" s="793"/>
      <c r="C431" s="848" t="s">
        <v>404</v>
      </c>
      <c r="D431" s="696" t="s">
        <v>289</v>
      </c>
      <c r="E431" s="849"/>
      <c r="F431" s="795"/>
      <c r="G431" s="817"/>
      <c r="H431" s="797"/>
      <c r="I431" s="798"/>
      <c r="J431" s="798"/>
      <c r="K431" s="804"/>
      <c r="L431" s="800"/>
      <c r="M431" s="801"/>
    </row>
    <row r="432" spans="2:13" outlineLevel="2">
      <c r="B432" s="793"/>
      <c r="C432" s="802"/>
      <c r="D432" s="850">
        <v>1</v>
      </c>
      <c r="E432" s="845" t="s">
        <v>900</v>
      </c>
      <c r="F432" s="795"/>
      <c r="G432" s="796"/>
      <c r="H432" s="797">
        <f>H433</f>
        <v>3</v>
      </c>
      <c r="I432" s="798" t="s">
        <v>879</v>
      </c>
      <c r="J432" s="798" t="s">
        <v>290</v>
      </c>
      <c r="K432" s="804" t="str">
        <f>VLOOKUP(J432,RKPANL!B:D,2,0)</f>
        <v>Pasang 1 Titik Instalasi Penerangan dan Stop Kontak dengan Kabel NYA 2x2,5 mm</v>
      </c>
      <c r="L432" s="800">
        <f>VLOOKUP(J432,RKPANL!B:D,3,0)</f>
        <v>232084.375</v>
      </c>
      <c r="M432" s="801">
        <f>L432*H432</f>
        <v>696253.125</v>
      </c>
    </row>
    <row r="433" spans="2:14" ht="15.6" outlineLevel="2">
      <c r="B433" s="793"/>
      <c r="C433" s="848"/>
      <c r="D433" s="794">
        <v>2</v>
      </c>
      <c r="E433" s="845" t="s">
        <v>842</v>
      </c>
      <c r="F433" s="795"/>
      <c r="G433" s="817"/>
      <c r="H433" s="797">
        <v>3</v>
      </c>
      <c r="I433" s="798" t="s">
        <v>62</v>
      </c>
      <c r="J433" s="798" t="s">
        <v>613</v>
      </c>
      <c r="K433" s="804" t="str">
        <f>VLOOKUP(J433,RKPANL!B:D,2,0)</f>
        <v>Pasang 1 buah Lampu LED 7 watt + Fitting Down Light</v>
      </c>
      <c r="L433" s="800">
        <f>VLOOKUP(J433,RKPANL!B:D,3,0)</f>
        <v>121813.75</v>
      </c>
      <c r="M433" s="801">
        <f>L433*H433</f>
        <v>365441.25</v>
      </c>
    </row>
    <row r="434" spans="2:14" ht="15.6" outlineLevel="2">
      <c r="B434" s="793"/>
      <c r="C434" s="848"/>
      <c r="D434" s="794">
        <v>3</v>
      </c>
      <c r="E434" s="812" t="s">
        <v>731</v>
      </c>
      <c r="F434" s="795"/>
      <c r="G434" s="817"/>
      <c r="H434" s="797">
        <v>1</v>
      </c>
      <c r="I434" s="798" t="s">
        <v>22</v>
      </c>
      <c r="J434" s="798" t="s">
        <v>299</v>
      </c>
      <c r="K434" s="804" t="str">
        <f>VLOOKUP(J434,RKPANL!B:D,2,0)</f>
        <v>Pasang 1 Set Saklar Tunggal</v>
      </c>
      <c r="L434" s="800">
        <f>VLOOKUP(J434,RKPANL!B:D,3,0)</f>
        <v>88463.75</v>
      </c>
      <c r="M434" s="801">
        <f>L434*H434</f>
        <v>88463.75</v>
      </c>
    </row>
    <row r="435" spans="2:14" ht="15.6" outlineLevel="2">
      <c r="B435" s="793"/>
      <c r="C435" s="848"/>
      <c r="D435" s="794">
        <v>4</v>
      </c>
      <c r="E435" s="826" t="s">
        <v>732</v>
      </c>
      <c r="F435" s="795"/>
      <c r="G435" s="817"/>
      <c r="H435" s="797">
        <v>1</v>
      </c>
      <c r="I435" s="798" t="s">
        <v>22</v>
      </c>
      <c r="J435" s="798" t="s">
        <v>302</v>
      </c>
      <c r="K435" s="804" t="str">
        <f>VLOOKUP(J435,RKPANL!B:D,2,0)</f>
        <v>Pasang 1 Set Saklar Ganda</v>
      </c>
      <c r="L435" s="800">
        <f>VLOOKUP(J435,RKPANL!B:D,3,0)</f>
        <v>105713.75</v>
      </c>
      <c r="M435" s="801">
        <f>L435*H435</f>
        <v>105713.75</v>
      </c>
    </row>
    <row r="436" spans="2:14" ht="15.6" outlineLevel="2">
      <c r="B436" s="851"/>
      <c r="C436" s="848"/>
      <c r="D436" s="794"/>
      <c r="E436" s="794"/>
      <c r="F436" s="795"/>
      <c r="G436" s="817"/>
      <c r="H436" s="797"/>
      <c r="I436" s="798"/>
      <c r="J436" s="798"/>
      <c r="K436" s="804"/>
      <c r="L436" s="800"/>
      <c r="M436" s="801"/>
    </row>
    <row r="437" spans="2:14" ht="15.6" outlineLevel="2">
      <c r="B437" s="793"/>
      <c r="C437" s="848" t="s">
        <v>560</v>
      </c>
      <c r="D437" s="696" t="s">
        <v>634</v>
      </c>
      <c r="E437" s="849"/>
      <c r="F437" s="795"/>
      <c r="G437" s="817"/>
      <c r="H437" s="797"/>
      <c r="I437" s="798"/>
      <c r="J437" s="798"/>
      <c r="K437" s="804"/>
      <c r="L437" s="800"/>
      <c r="M437" s="801"/>
    </row>
    <row r="438" spans="2:14" ht="15.6" outlineLevel="2">
      <c r="B438" s="793"/>
      <c r="C438" s="848"/>
      <c r="D438" s="794">
        <v>1</v>
      </c>
      <c r="E438" s="812" t="s">
        <v>476</v>
      </c>
      <c r="F438" s="795"/>
      <c r="G438" s="817"/>
      <c r="H438" s="797">
        <v>12</v>
      </c>
      <c r="I438" s="798" t="s">
        <v>21</v>
      </c>
      <c r="J438" s="798" t="s">
        <v>284</v>
      </c>
      <c r="K438" s="804" t="str">
        <f>VLOOKUP(J438,RKPANL!B:D,2,0)</f>
        <v>Pemasangan 1 m’ pipa PVC tipe AW diameter ½ ”</v>
      </c>
      <c r="L438" s="800">
        <f>VLOOKUP(J438,RKPANL!B:D,3,0)</f>
        <v>41465.166666666672</v>
      </c>
      <c r="M438" s="801">
        <f>L438*H438</f>
        <v>497582.00000000006</v>
      </c>
    </row>
    <row r="439" spans="2:14" ht="15.6" outlineLevel="2">
      <c r="B439" s="793"/>
      <c r="C439" s="848"/>
      <c r="D439" s="794">
        <v>2</v>
      </c>
      <c r="E439" s="812" t="s">
        <v>477</v>
      </c>
      <c r="F439" s="795"/>
      <c r="G439" s="817"/>
      <c r="H439" s="797">
        <v>12</v>
      </c>
      <c r="I439" s="798" t="s">
        <v>21</v>
      </c>
      <c r="J439" s="798" t="s">
        <v>691</v>
      </c>
      <c r="K439" s="804" t="str">
        <f>VLOOKUP(J439,RKPANL!B:D,2,0)</f>
        <v>Pemasangan 1 m’ pipa PVC tipe AW diameter 1”</v>
      </c>
      <c r="L439" s="800">
        <f>VLOOKUP(J439,RKPANL!B:D,3,0)</f>
        <v>44372.75</v>
      </c>
      <c r="M439" s="801">
        <f>L439*H439</f>
        <v>532473</v>
      </c>
    </row>
    <row r="440" spans="2:14" ht="15.6" outlineLevel="2">
      <c r="B440" s="793"/>
      <c r="C440" s="848"/>
      <c r="D440" s="794">
        <v>3</v>
      </c>
      <c r="E440" s="812" t="s">
        <v>478</v>
      </c>
      <c r="F440" s="795"/>
      <c r="G440" s="817"/>
      <c r="H440" s="797">
        <v>12</v>
      </c>
      <c r="I440" s="798" t="s">
        <v>21</v>
      </c>
      <c r="J440" s="798" t="s">
        <v>693</v>
      </c>
      <c r="K440" s="804" t="str">
        <f>VLOOKUP(J440,RKPANL!B:D,2,0)</f>
        <v>Pemasangan 1 m’ pipa PVC tipe AW diameter 2”</v>
      </c>
      <c r="L440" s="800">
        <f>VLOOKUP(J440,RKPANL!B:D,3,0)</f>
        <v>71110.25</v>
      </c>
      <c r="M440" s="801">
        <f>L440*H440</f>
        <v>853323</v>
      </c>
    </row>
    <row r="441" spans="2:14" ht="15.6" outlineLevel="2">
      <c r="B441" s="793"/>
      <c r="C441" s="848"/>
      <c r="D441" s="794">
        <v>4</v>
      </c>
      <c r="E441" s="812" t="s">
        <v>698</v>
      </c>
      <c r="F441" s="795"/>
      <c r="G441" s="817"/>
      <c r="H441" s="797">
        <v>12</v>
      </c>
      <c r="I441" s="798" t="s">
        <v>21</v>
      </c>
      <c r="J441" s="798" t="s">
        <v>766</v>
      </c>
      <c r="K441" s="804" t="str">
        <f>VLOOKUP(J441,RKPANL!B:D,2,0)</f>
        <v>Pemasangan 1 m’ pipa PVC tipe AW diameter 3”</v>
      </c>
      <c r="L441" s="800">
        <f>VLOOKUP(J441,RKPANL!B:D,3,0)</f>
        <v>100818.58333333333</v>
      </c>
      <c r="M441" s="801">
        <f>L441*H441</f>
        <v>1209823</v>
      </c>
    </row>
    <row r="442" spans="2:14" ht="15.6" outlineLevel="2">
      <c r="B442" s="793"/>
      <c r="C442" s="848"/>
      <c r="D442" s="794">
        <v>5</v>
      </c>
      <c r="E442" s="812" t="s">
        <v>479</v>
      </c>
      <c r="F442" s="795"/>
      <c r="G442" s="817"/>
      <c r="H442" s="797">
        <v>1</v>
      </c>
      <c r="I442" s="798" t="s">
        <v>62</v>
      </c>
      <c r="J442" s="798" t="s">
        <v>73</v>
      </c>
      <c r="K442" s="804" t="e">
        <f>VLOOKUP(J442,RKPANL!B:D,2,0)</f>
        <v>#N/A</v>
      </c>
      <c r="L442" s="800">
        <v>500000</v>
      </c>
      <c r="M442" s="801">
        <f>L442*H442</f>
        <v>500000</v>
      </c>
    </row>
    <row r="443" spans="2:14" ht="15.6" outlineLevel="2">
      <c r="B443" s="851"/>
      <c r="C443" s="848"/>
      <c r="D443" s="794"/>
      <c r="E443" s="794"/>
      <c r="F443" s="795"/>
      <c r="G443" s="817"/>
      <c r="H443" s="797"/>
      <c r="I443" s="798"/>
      <c r="J443" s="798"/>
      <c r="K443" s="804"/>
      <c r="L443" s="800"/>
      <c r="M443" s="801"/>
    </row>
    <row r="444" spans="2:14" ht="15.6" outlineLevel="2">
      <c r="B444" s="793"/>
      <c r="C444" s="848" t="s">
        <v>568</v>
      </c>
      <c r="D444" s="696" t="s">
        <v>422</v>
      </c>
      <c r="E444" s="849"/>
      <c r="F444" s="795"/>
      <c r="G444" s="817"/>
      <c r="H444" s="797"/>
      <c r="I444" s="798"/>
      <c r="J444" s="798"/>
      <c r="K444" s="804"/>
      <c r="L444" s="800"/>
      <c r="M444" s="801"/>
    </row>
    <row r="445" spans="2:14" ht="15.6" outlineLevel="2">
      <c r="B445" s="793"/>
      <c r="C445" s="848"/>
      <c r="D445" s="794">
        <v>1</v>
      </c>
      <c r="E445" s="812" t="s">
        <v>919</v>
      </c>
      <c r="F445" s="795"/>
      <c r="G445" s="817"/>
      <c r="H445" s="797">
        <f>(8*2)+(8*4)</f>
        <v>48</v>
      </c>
      <c r="I445" s="798" t="s">
        <v>133</v>
      </c>
      <c r="J445" s="798" t="s">
        <v>139</v>
      </c>
      <c r="K445" s="804" t="str">
        <f>VLOOKUP(J445,RKPANL!B:D,2,0)</f>
        <v>Pengecatan 1 m2 tembok baru (1 lapis plamuur, 1 lapis cat dasar, 2
lapis cat penutup)</v>
      </c>
      <c r="L445" s="800">
        <f>VLOOKUP(J445,RKPANL!B:D,3,0)</f>
        <v>55114.9</v>
      </c>
      <c r="M445" s="801">
        <f>L445*H445</f>
        <v>2645515.2000000002</v>
      </c>
    </row>
    <row r="446" spans="2:14" ht="15.6" outlineLevel="2">
      <c r="B446" s="857"/>
      <c r="C446" s="858"/>
      <c r="D446" s="859"/>
      <c r="E446" s="768"/>
      <c r="G446" s="860"/>
      <c r="H446" s="861"/>
      <c r="I446" s="771"/>
      <c r="K446" s="862"/>
      <c r="L446" s="863"/>
      <c r="M446" s="864"/>
    </row>
    <row r="447" spans="2:14" ht="15.6" outlineLevel="1">
      <c r="B447" s="842"/>
      <c r="C447" s="843"/>
      <c r="D447" s="853"/>
      <c r="E447" s="843"/>
      <c r="F447" s="843"/>
      <c r="G447" s="843"/>
      <c r="H447" s="809"/>
      <c r="I447" s="843"/>
      <c r="J447" s="843"/>
      <c r="K447" s="809"/>
      <c r="L447" s="883" t="s">
        <v>863</v>
      </c>
      <c r="M447" s="810">
        <f>SUM(M397:M446)</f>
        <v>75146634.053288877</v>
      </c>
    </row>
    <row r="448" spans="2:14" ht="15.6">
      <c r="B448" s="807"/>
      <c r="C448" s="808"/>
      <c r="D448" s="808"/>
      <c r="E448" s="808"/>
      <c r="F448" s="808"/>
      <c r="G448" s="808"/>
      <c r="H448" s="809"/>
      <c r="I448" s="808"/>
      <c r="J448" s="808"/>
      <c r="K448" s="1224" t="s">
        <v>363</v>
      </c>
      <c r="L448" s="1225"/>
      <c r="M448" s="810">
        <f>SUM(M377:M447)/2</f>
        <v>116515543.22828886</v>
      </c>
      <c r="N448" s="879">
        <f>M448</f>
        <v>116515543.22828886</v>
      </c>
    </row>
    <row r="449" spans="2:13" ht="15.6">
      <c r="B449" s="851" t="s">
        <v>325</v>
      </c>
      <c r="C449" s="874" t="s">
        <v>490</v>
      </c>
      <c r="E449" s="875"/>
      <c r="F449" s="795"/>
      <c r="G449" s="796"/>
      <c r="H449" s="797"/>
      <c r="I449" s="798"/>
      <c r="J449" s="798"/>
      <c r="K449" s="876"/>
      <c r="L449" s="877"/>
      <c r="M449" s="878"/>
    </row>
    <row r="450" spans="2:13" ht="15.6" outlineLevel="2">
      <c r="B450" s="793"/>
      <c r="C450" s="848" t="s">
        <v>2</v>
      </c>
      <c r="D450" s="696" t="s">
        <v>461</v>
      </c>
      <c r="E450" s="849"/>
      <c r="F450" s="795"/>
      <c r="G450" s="796"/>
      <c r="H450" s="797"/>
      <c r="I450" s="798"/>
      <c r="J450" s="798"/>
      <c r="K450" s="799"/>
      <c r="L450" s="800"/>
      <c r="M450" s="801"/>
    </row>
    <row r="451" spans="2:13" outlineLevel="2">
      <c r="B451" s="793"/>
      <c r="C451" s="802"/>
      <c r="D451" s="794">
        <v>1</v>
      </c>
      <c r="E451" s="795" t="s">
        <v>464</v>
      </c>
      <c r="F451" s="795"/>
      <c r="G451" s="796"/>
      <c r="H451" s="797">
        <f>4*12</f>
        <v>48</v>
      </c>
      <c r="I451" s="798" t="s">
        <v>133</v>
      </c>
      <c r="J451" s="798" t="s">
        <v>673</v>
      </c>
      <c r="K451" s="804" t="e">
        <f>VLOOKUP(J451,RKPANL!B:D,2,0)</f>
        <v>#N/A</v>
      </c>
      <c r="L451" s="800">
        <v>100000</v>
      </c>
      <c r="M451" s="801">
        <f>L451*H451</f>
        <v>4800000</v>
      </c>
    </row>
    <row r="452" spans="2:13" outlineLevel="2">
      <c r="B452" s="793"/>
      <c r="C452" s="802"/>
      <c r="D452" s="794">
        <v>2</v>
      </c>
      <c r="E452" s="795" t="s">
        <v>480</v>
      </c>
      <c r="F452" s="795"/>
      <c r="G452" s="796"/>
      <c r="H452" s="797">
        <f>H451*2</f>
        <v>96</v>
      </c>
      <c r="I452" s="798" t="s">
        <v>133</v>
      </c>
      <c r="J452" s="798" t="s">
        <v>674</v>
      </c>
      <c r="K452" s="804" t="e">
        <f>VLOOKUP(J452,RKPANL!B:D,2,0)</f>
        <v>#N/A</v>
      </c>
      <c r="L452" s="800">
        <v>70000</v>
      </c>
      <c r="M452" s="801">
        <f>L452*H452</f>
        <v>6720000</v>
      </c>
    </row>
    <row r="453" spans="2:13" outlineLevel="2">
      <c r="B453" s="793"/>
      <c r="C453" s="802"/>
      <c r="D453" s="794">
        <v>3</v>
      </c>
      <c r="E453" s="795" t="s">
        <v>700</v>
      </c>
      <c r="F453" s="795"/>
      <c r="G453" s="796"/>
      <c r="H453" s="797">
        <f>(3.2+8)*3</f>
        <v>33.599999999999994</v>
      </c>
      <c r="I453" s="798" t="s">
        <v>133</v>
      </c>
      <c r="J453" s="798" t="s">
        <v>701</v>
      </c>
      <c r="K453" s="804" t="e">
        <f>VLOOKUP(J453,RKPANL!B:D,2,0)</f>
        <v>#N/A</v>
      </c>
      <c r="L453" s="800">
        <v>500000</v>
      </c>
      <c r="M453" s="801">
        <f>L453*H453</f>
        <v>16799999.999999996</v>
      </c>
    </row>
    <row r="454" spans="2:13" outlineLevel="2">
      <c r="B454" s="793"/>
      <c r="C454" s="802"/>
      <c r="D454" s="794"/>
      <c r="E454" s="812"/>
      <c r="F454" s="795"/>
      <c r="G454" s="796"/>
      <c r="H454" s="797"/>
      <c r="I454" s="798"/>
      <c r="J454" s="798"/>
      <c r="K454" s="804"/>
      <c r="L454" s="800"/>
      <c r="M454" s="801"/>
    </row>
    <row r="455" spans="2:13" ht="15.6" outlineLevel="2">
      <c r="B455" s="793"/>
      <c r="C455" s="848" t="s">
        <v>16</v>
      </c>
      <c r="D455" s="696" t="s">
        <v>509</v>
      </c>
      <c r="E455" s="849"/>
      <c r="F455" s="795"/>
      <c r="G455" s="817"/>
      <c r="H455" s="797"/>
      <c r="I455" s="798"/>
      <c r="J455" s="798"/>
      <c r="K455" s="804"/>
      <c r="L455" s="800"/>
      <c r="M455" s="801"/>
    </row>
    <row r="456" spans="2:13" ht="15.6" outlineLevel="2">
      <c r="B456" s="793"/>
      <c r="C456" s="848"/>
      <c r="D456" s="794">
        <v>1</v>
      </c>
      <c r="E456" s="812" t="s">
        <v>683</v>
      </c>
      <c r="F456" s="795"/>
      <c r="G456" s="817"/>
      <c r="H456" s="797">
        <v>2</v>
      </c>
      <c r="I456" s="798" t="s">
        <v>62</v>
      </c>
      <c r="J456" s="798" t="s">
        <v>73</v>
      </c>
      <c r="K456" s="804" t="e">
        <f>VLOOKUP(J456,RKPANL!B:D,2,0)</f>
        <v>#N/A</v>
      </c>
      <c r="L456" s="800">
        <v>5600000</v>
      </c>
      <c r="M456" s="801">
        <f>L456*H456</f>
        <v>11200000</v>
      </c>
    </row>
    <row r="457" spans="2:13" ht="15.6" outlineLevel="2">
      <c r="B457" s="793"/>
      <c r="C457" s="848"/>
      <c r="D457" s="794"/>
      <c r="E457" s="812"/>
      <c r="F457" s="795"/>
      <c r="G457" s="817"/>
      <c r="H457" s="797"/>
      <c r="I457" s="798"/>
      <c r="J457" s="798"/>
      <c r="K457" s="804"/>
      <c r="L457" s="800"/>
      <c r="M457" s="801"/>
    </row>
    <row r="458" spans="2:13" ht="15.6" outlineLevel="2">
      <c r="B458" s="793"/>
      <c r="C458" s="848" t="s">
        <v>17</v>
      </c>
      <c r="D458" s="696" t="s">
        <v>498</v>
      </c>
      <c r="E458" s="849"/>
      <c r="F458" s="795"/>
      <c r="G458" s="817"/>
      <c r="H458" s="797"/>
      <c r="I458" s="798"/>
      <c r="J458" s="798"/>
      <c r="K458" s="804"/>
      <c r="L458" s="800"/>
      <c r="M458" s="801"/>
    </row>
    <row r="459" spans="2:13" ht="15.6" outlineLevel="2">
      <c r="B459" s="793"/>
      <c r="C459" s="848"/>
      <c r="D459" s="794">
        <v>1</v>
      </c>
      <c r="E459" s="812" t="s">
        <v>510</v>
      </c>
      <c r="F459" s="795"/>
      <c r="G459" s="817"/>
      <c r="H459" s="797">
        <v>30</v>
      </c>
      <c r="I459" s="798" t="s">
        <v>21</v>
      </c>
      <c r="J459" s="798" t="s">
        <v>661</v>
      </c>
      <c r="K459" s="804" t="e">
        <f>VLOOKUP(J459,RKPANL!B:D,2,0)</f>
        <v>#N/A</v>
      </c>
      <c r="L459" s="800">
        <v>300000</v>
      </c>
      <c r="M459" s="801">
        <f>L459*H459</f>
        <v>9000000</v>
      </c>
    </row>
    <row r="460" spans="2:13" ht="15.6" outlineLevel="2">
      <c r="B460" s="793"/>
      <c r="C460" s="848"/>
      <c r="D460" s="794">
        <v>2</v>
      </c>
      <c r="E460" s="812" t="s">
        <v>511</v>
      </c>
      <c r="F460" s="795"/>
      <c r="G460" s="817"/>
      <c r="H460" s="797">
        <v>25</v>
      </c>
      <c r="I460" s="798" t="s">
        <v>21</v>
      </c>
      <c r="J460" s="798" t="s">
        <v>675</v>
      </c>
      <c r="K460" s="804" t="e">
        <f>VLOOKUP(J460,RKPANL!B:D,2,0)</f>
        <v>#N/A</v>
      </c>
      <c r="L460" s="800">
        <v>250000</v>
      </c>
      <c r="M460" s="801">
        <f>L460*H460</f>
        <v>6250000</v>
      </c>
    </row>
    <row r="461" spans="2:13" ht="15.6" outlineLevel="2">
      <c r="B461" s="793"/>
      <c r="C461" s="848"/>
      <c r="D461" s="794">
        <v>3</v>
      </c>
      <c r="E461" s="812" t="s">
        <v>425</v>
      </c>
      <c r="F461" s="795"/>
      <c r="G461" s="817"/>
      <c r="H461" s="797">
        <f>2*5*2</f>
        <v>20</v>
      </c>
      <c r="I461" s="798" t="str">
        <f>M!S20</f>
        <v>M2</v>
      </c>
      <c r="J461" s="798" t="s">
        <v>676</v>
      </c>
      <c r="K461" s="804" t="e">
        <f>VLOOKUP(J461,RKPANL!B:D,2,0)</f>
        <v>#N/A</v>
      </c>
      <c r="L461" s="800">
        <v>50000</v>
      </c>
      <c r="M461" s="801">
        <f>L461*H461</f>
        <v>1000000</v>
      </c>
    </row>
    <row r="462" spans="2:13" ht="15.6" outlineLevel="2">
      <c r="B462" s="793"/>
      <c r="C462" s="848"/>
      <c r="D462" s="794">
        <v>4</v>
      </c>
      <c r="E462" s="812" t="s">
        <v>462</v>
      </c>
      <c r="F462" s="795"/>
      <c r="G462" s="817"/>
      <c r="H462" s="797">
        <f>H461</f>
        <v>20</v>
      </c>
      <c r="I462" s="798" t="str">
        <f>M!S24</f>
        <v>M2</v>
      </c>
      <c r="J462" s="798" t="s">
        <v>278</v>
      </c>
      <c r="K462" s="804" t="str">
        <f>VLOOKUP(J462,RKPANL!B:D,2,0)</f>
        <v xml:space="preserve">Pemasangan 1 m2 langit-langit Pvc t 8mm </v>
      </c>
      <c r="L462" s="800">
        <f>VLOOKUP(J462,RKPANL!B:D,3,0)</f>
        <v>153475</v>
      </c>
      <c r="M462" s="801">
        <f>L462*H462</f>
        <v>3069500</v>
      </c>
    </row>
    <row r="463" spans="2:13" ht="15.6" outlineLevel="2">
      <c r="B463" s="793"/>
      <c r="C463" s="848"/>
      <c r="D463" s="794">
        <v>5</v>
      </c>
      <c r="E463" s="812" t="s">
        <v>463</v>
      </c>
      <c r="F463" s="795"/>
      <c r="G463" s="817"/>
      <c r="H463" s="797">
        <f>M!R25</f>
        <v>90</v>
      </c>
      <c r="I463" s="798" t="str">
        <f>M!S25</f>
        <v>M'</v>
      </c>
      <c r="J463" s="798" t="s">
        <v>280</v>
      </c>
      <c r="K463" s="804" t="str">
        <f>VLOOKUP(J463,RKPANL!B:D,2,0)</f>
        <v xml:space="preserve">Pemasangan 1 m' List plafond PVC </v>
      </c>
      <c r="L463" s="800">
        <f>VLOOKUP(J463,RKPANL!B:D,3,0)</f>
        <v>44020.75</v>
      </c>
      <c r="M463" s="801">
        <f>L463*H463</f>
        <v>3961867.5</v>
      </c>
    </row>
    <row r="464" spans="2:13" ht="15.6" outlineLevel="2">
      <c r="B464" s="851"/>
      <c r="C464" s="848"/>
      <c r="D464" s="794"/>
      <c r="E464" s="794"/>
      <c r="F464" s="795"/>
      <c r="G464" s="817"/>
      <c r="H464" s="797"/>
      <c r="I464" s="798"/>
      <c r="J464" s="798"/>
      <c r="K464" s="804"/>
      <c r="L464" s="800"/>
      <c r="M464" s="801"/>
    </row>
    <row r="465" spans="2:14" ht="15.6" outlineLevel="2">
      <c r="B465" s="793"/>
      <c r="C465" s="848" t="s">
        <v>18</v>
      </c>
      <c r="D465" s="696" t="s">
        <v>422</v>
      </c>
      <c r="E465" s="849"/>
      <c r="F465" s="795"/>
      <c r="G465" s="817"/>
      <c r="H465" s="797"/>
      <c r="I465" s="798"/>
      <c r="J465" s="798"/>
      <c r="K465" s="804"/>
      <c r="L465" s="800"/>
      <c r="M465" s="801"/>
    </row>
    <row r="466" spans="2:14" ht="15.6" outlineLevel="2">
      <c r="B466" s="793"/>
      <c r="C466" s="848"/>
      <c r="D466" s="850">
        <v>1</v>
      </c>
      <c r="E466" s="845" t="s">
        <v>921</v>
      </c>
      <c r="F466" s="795"/>
      <c r="G466" s="817"/>
      <c r="H466" s="797">
        <f>H451*2</f>
        <v>96</v>
      </c>
      <c r="I466" s="798" t="str">
        <f>M!S28</f>
        <v>M2</v>
      </c>
      <c r="J466" s="798" t="s">
        <v>139</v>
      </c>
      <c r="K466" s="804" t="str">
        <f>VLOOKUP(J466,RKPANL!B:D,2,0)</f>
        <v>Pengecatan 1 m2 tembok baru (1 lapis plamuur, 1 lapis cat dasar, 2
lapis cat penutup)</v>
      </c>
      <c r="L466" s="800">
        <f>VLOOKUP(J466,RKPANL!B:D,3,0)</f>
        <v>55114.9</v>
      </c>
      <c r="M466" s="801">
        <f>L466*H466</f>
        <v>5291030.4000000004</v>
      </c>
    </row>
    <row r="467" spans="2:14" outlineLevel="2">
      <c r="B467" s="793"/>
      <c r="C467" s="802"/>
      <c r="D467" s="794"/>
      <c r="E467" s="795"/>
      <c r="F467" s="795"/>
      <c r="G467" s="796"/>
      <c r="H467" s="797"/>
      <c r="I467" s="798"/>
      <c r="J467" s="798"/>
      <c r="K467" s="841"/>
      <c r="L467" s="800"/>
      <c r="M467" s="801"/>
    </row>
    <row r="468" spans="2:14" ht="15.6">
      <c r="B468" s="807"/>
      <c r="C468" s="808"/>
      <c r="D468" s="808"/>
      <c r="E468" s="808"/>
      <c r="F468" s="808"/>
      <c r="G468" s="808"/>
      <c r="H468" s="809"/>
      <c r="I468" s="808"/>
      <c r="J468" s="808"/>
      <c r="K468" s="1224" t="s">
        <v>364</v>
      </c>
      <c r="L468" s="1225"/>
      <c r="M468" s="810">
        <f>SUM(M451:M467)</f>
        <v>68092397.900000006</v>
      </c>
      <c r="N468" s="879">
        <f>M468</f>
        <v>68092397.900000006</v>
      </c>
    </row>
    <row r="469" spans="2:14" ht="15.6">
      <c r="B469" s="851" t="s">
        <v>2</v>
      </c>
      <c r="C469" s="874" t="s">
        <v>495</v>
      </c>
      <c r="E469" s="875"/>
      <c r="F469" s="795"/>
      <c r="G469" s="796"/>
      <c r="H469" s="797"/>
      <c r="I469" s="798"/>
      <c r="J469" s="798"/>
      <c r="K469" s="876"/>
      <c r="L469" s="877"/>
      <c r="M469" s="878"/>
      <c r="N469" s="879"/>
    </row>
    <row r="470" spans="2:14" ht="15.6" outlineLevel="2">
      <c r="B470" s="793"/>
      <c r="C470" s="848" t="s">
        <v>2</v>
      </c>
      <c r="D470" s="696" t="s">
        <v>486</v>
      </c>
      <c r="E470" s="849"/>
      <c r="F470" s="795"/>
      <c r="G470" s="817"/>
      <c r="H470" s="797"/>
      <c r="I470" s="798"/>
      <c r="J470" s="798"/>
      <c r="K470" s="804"/>
      <c r="L470" s="800"/>
      <c r="M470" s="801"/>
    </row>
    <row r="471" spans="2:14" ht="15.6" outlineLevel="2">
      <c r="B471" s="793"/>
      <c r="C471" s="848"/>
      <c r="D471" s="794">
        <v>1</v>
      </c>
      <c r="E471" s="812" t="s">
        <v>496</v>
      </c>
      <c r="F471" s="795"/>
      <c r="G471" s="817"/>
      <c r="H471" s="797">
        <v>1</v>
      </c>
      <c r="I471" s="798" t="s">
        <v>62</v>
      </c>
      <c r="J471" s="798" t="s">
        <v>73</v>
      </c>
      <c r="K471" s="804" t="e">
        <f>VLOOKUP(J471,RKPANL!B:D,2,0)</f>
        <v>#N/A</v>
      </c>
      <c r="L471" s="800">
        <v>250000</v>
      </c>
      <c r="M471" s="801">
        <f>L471*H471</f>
        <v>250000</v>
      </c>
    </row>
    <row r="472" spans="2:14" ht="15.6" outlineLevel="2">
      <c r="B472" s="793"/>
      <c r="C472" s="848"/>
      <c r="D472" s="794">
        <v>2</v>
      </c>
      <c r="E472" s="812" t="s">
        <v>497</v>
      </c>
      <c r="F472" s="795"/>
      <c r="G472" s="817"/>
      <c r="H472" s="797">
        <v>1</v>
      </c>
      <c r="I472" s="798" t="s">
        <v>62</v>
      </c>
      <c r="J472" s="798" t="s">
        <v>73</v>
      </c>
      <c r="K472" s="804" t="e">
        <f>VLOOKUP(J472,RKPANL!B:D,2,0)</f>
        <v>#N/A</v>
      </c>
      <c r="L472" s="800">
        <v>200000</v>
      </c>
      <c r="M472" s="801">
        <f>L472*H472</f>
        <v>200000</v>
      </c>
    </row>
    <row r="473" spans="2:14" ht="15.6" outlineLevel="2">
      <c r="B473" s="851"/>
      <c r="C473" s="848"/>
      <c r="D473" s="794"/>
      <c r="E473" s="794"/>
      <c r="F473" s="795"/>
      <c r="G473" s="817"/>
      <c r="H473" s="797"/>
      <c r="I473" s="798"/>
      <c r="J473" s="798"/>
      <c r="K473" s="804"/>
      <c r="L473" s="800"/>
      <c r="M473" s="801"/>
    </row>
    <row r="474" spans="2:14" ht="15.6" outlineLevel="2">
      <c r="B474" s="793"/>
      <c r="C474" s="848" t="s">
        <v>16</v>
      </c>
      <c r="D474" s="696" t="s">
        <v>498</v>
      </c>
      <c r="E474" s="849"/>
      <c r="F474" s="795"/>
      <c r="G474" s="817"/>
      <c r="H474" s="797"/>
      <c r="I474" s="798"/>
      <c r="J474" s="798"/>
      <c r="K474" s="804"/>
      <c r="L474" s="800"/>
      <c r="M474" s="801"/>
    </row>
    <row r="475" spans="2:14" ht="15.6" outlineLevel="2">
      <c r="B475" s="793"/>
      <c r="C475" s="848"/>
      <c r="D475" s="794">
        <v>1</v>
      </c>
      <c r="E475" s="812" t="s">
        <v>510</v>
      </c>
      <c r="F475" s="795"/>
      <c r="G475" s="817"/>
      <c r="H475" s="797">
        <v>30</v>
      </c>
      <c r="I475" s="798" t="s">
        <v>21</v>
      </c>
      <c r="J475" s="798" t="s">
        <v>661</v>
      </c>
      <c r="K475" s="804" t="e">
        <f>VLOOKUP(J475,RKPANL!B:D,2,0)</f>
        <v>#N/A</v>
      </c>
      <c r="L475" s="800">
        <v>300000</v>
      </c>
      <c r="M475" s="801">
        <f>L475*H475</f>
        <v>9000000</v>
      </c>
    </row>
    <row r="476" spans="2:14" ht="15.6" outlineLevel="2">
      <c r="B476" s="793"/>
      <c r="C476" s="848"/>
      <c r="D476" s="794">
        <v>2</v>
      </c>
      <c r="E476" s="812" t="s">
        <v>511</v>
      </c>
      <c r="F476" s="795"/>
      <c r="G476" s="817"/>
      <c r="H476" s="797">
        <v>25</v>
      </c>
      <c r="I476" s="798" t="s">
        <v>21</v>
      </c>
      <c r="J476" s="798" t="s">
        <v>675</v>
      </c>
      <c r="K476" s="804" t="e">
        <f>VLOOKUP(J476,RKPANL!B:D,2,0)</f>
        <v>#N/A</v>
      </c>
      <c r="L476" s="800">
        <v>250000</v>
      </c>
      <c r="M476" s="801">
        <f>L476*H476</f>
        <v>6250000</v>
      </c>
    </row>
    <row r="477" spans="2:14" ht="15.6" outlineLevel="2">
      <c r="B477" s="793"/>
      <c r="C477" s="848"/>
      <c r="D477" s="794">
        <v>3</v>
      </c>
      <c r="E477" s="812" t="s">
        <v>425</v>
      </c>
      <c r="F477" s="795"/>
      <c r="G477" s="817"/>
      <c r="H477" s="797">
        <f>2*5*2</f>
        <v>20</v>
      </c>
      <c r="I477" s="798" t="s">
        <v>133</v>
      </c>
      <c r="J477" s="829" t="s">
        <v>661</v>
      </c>
      <c r="K477" s="804" t="e">
        <f>VLOOKUP(J477,RKPANL!B:D,2,0)</f>
        <v>#N/A</v>
      </c>
      <c r="L477" s="800">
        <v>150000</v>
      </c>
      <c r="M477" s="801">
        <f>L477*H477</f>
        <v>3000000</v>
      </c>
    </row>
    <row r="478" spans="2:14" ht="15.6" outlineLevel="2">
      <c r="B478" s="793"/>
      <c r="C478" s="848"/>
      <c r="D478" s="794">
        <v>4</v>
      </c>
      <c r="E478" s="812" t="s">
        <v>462</v>
      </c>
      <c r="F478" s="795"/>
      <c r="G478" s="817"/>
      <c r="H478" s="797">
        <f>H477</f>
        <v>20</v>
      </c>
      <c r="I478" s="798" t="str">
        <f>M!S101</f>
        <v>Ls</v>
      </c>
      <c r="J478" s="798" t="s">
        <v>278</v>
      </c>
      <c r="K478" s="804" t="str">
        <f>VLOOKUP(J478,RKPANL!B:D,2,0)</f>
        <v xml:space="preserve">Pemasangan 1 m2 langit-langit Pvc t 8mm </v>
      </c>
      <c r="L478" s="800">
        <f>VLOOKUP(J478,RKPANL!B:D,3,0)</f>
        <v>153475</v>
      </c>
      <c r="M478" s="801">
        <f>L478*H478</f>
        <v>3069500</v>
      </c>
    </row>
    <row r="479" spans="2:14" ht="15.6" outlineLevel="2">
      <c r="B479" s="851"/>
      <c r="C479" s="848"/>
      <c r="D479" s="794"/>
      <c r="E479" s="794"/>
      <c r="F479" s="795"/>
      <c r="G479" s="817"/>
      <c r="H479" s="797"/>
      <c r="I479" s="798"/>
      <c r="J479" s="798"/>
      <c r="K479" s="804"/>
      <c r="L479" s="800"/>
      <c r="M479" s="801"/>
    </row>
    <row r="480" spans="2:14" ht="15.6" outlineLevel="2">
      <c r="B480" s="793"/>
      <c r="C480" s="848" t="s">
        <v>17</v>
      </c>
      <c r="D480" s="696" t="s">
        <v>422</v>
      </c>
      <c r="E480" s="849"/>
      <c r="F480" s="795"/>
      <c r="G480" s="817"/>
      <c r="H480" s="797"/>
      <c r="I480" s="798"/>
      <c r="J480" s="798"/>
      <c r="K480" s="804"/>
      <c r="L480" s="800"/>
      <c r="M480" s="801"/>
    </row>
    <row r="481" spans="2:14" ht="15.6" outlineLevel="2">
      <c r="B481" s="793"/>
      <c r="C481" s="848"/>
      <c r="D481" s="850">
        <v>1</v>
      </c>
      <c r="E481" s="845" t="s">
        <v>921</v>
      </c>
      <c r="F481" s="795"/>
      <c r="G481" s="817"/>
      <c r="H481" s="797">
        <v>56</v>
      </c>
      <c r="I481" s="798" t="s">
        <v>41</v>
      </c>
      <c r="J481" s="798" t="s">
        <v>139</v>
      </c>
      <c r="K481" s="804" t="str">
        <f>VLOOKUP(J481,RKPANL!B:D,2,0)</f>
        <v>Pengecatan 1 m2 tembok baru (1 lapis plamuur, 1 lapis cat dasar, 2
lapis cat penutup)</v>
      </c>
      <c r="L481" s="800">
        <f>VLOOKUP(J481,RKPANL!B:D,3,0)</f>
        <v>55114.9</v>
      </c>
      <c r="M481" s="801">
        <f>L481*H481</f>
        <v>3086434.4</v>
      </c>
    </row>
    <row r="482" spans="2:14" outlineLevel="2">
      <c r="B482" s="793"/>
      <c r="C482" s="802"/>
      <c r="D482" s="794"/>
      <c r="E482" s="795"/>
      <c r="F482" s="795"/>
      <c r="G482" s="796"/>
      <c r="H482" s="797"/>
      <c r="I482" s="798"/>
      <c r="J482" s="798"/>
      <c r="K482" s="806"/>
      <c r="L482" s="800"/>
      <c r="M482" s="801"/>
    </row>
    <row r="483" spans="2:14" ht="15.6">
      <c r="B483" s="807"/>
      <c r="C483" s="808"/>
      <c r="D483" s="808"/>
      <c r="E483" s="808"/>
      <c r="F483" s="808"/>
      <c r="G483" s="808"/>
      <c r="H483" s="809"/>
      <c r="I483" s="808"/>
      <c r="J483" s="808"/>
      <c r="K483" s="1224" t="s">
        <v>460</v>
      </c>
      <c r="L483" s="1225"/>
      <c r="M483" s="810">
        <f>SUM(M470:M482)</f>
        <v>24855934.399999999</v>
      </c>
      <c r="N483" s="879">
        <f>M483</f>
        <v>24855934.399999999</v>
      </c>
    </row>
    <row r="484" spans="2:14" ht="15.6">
      <c r="B484" s="851" t="s">
        <v>328</v>
      </c>
      <c r="C484" s="874" t="s">
        <v>482</v>
      </c>
      <c r="E484" s="875"/>
      <c r="F484" s="795"/>
      <c r="G484" s="796"/>
      <c r="H484" s="797"/>
      <c r="I484" s="798"/>
      <c r="J484" s="798"/>
      <c r="K484" s="876"/>
      <c r="L484" s="877"/>
      <c r="M484" s="878"/>
    </row>
    <row r="485" spans="2:14" ht="15.6" outlineLevel="2">
      <c r="B485" s="793"/>
      <c r="C485" s="848" t="s">
        <v>2</v>
      </c>
      <c r="D485" s="696" t="s">
        <v>491</v>
      </c>
      <c r="E485" s="849"/>
      <c r="F485" s="795"/>
      <c r="G485" s="796"/>
      <c r="H485" s="797"/>
      <c r="I485" s="798"/>
      <c r="J485" s="798"/>
      <c r="K485" s="799"/>
      <c r="L485" s="800"/>
      <c r="M485" s="801"/>
    </row>
    <row r="486" spans="2:14" outlineLevel="2">
      <c r="B486" s="793"/>
      <c r="C486" s="802"/>
      <c r="D486" s="850">
        <v>1</v>
      </c>
      <c r="E486" s="845" t="s">
        <v>900</v>
      </c>
      <c r="F486" s="795"/>
      <c r="G486" s="796"/>
      <c r="H486" s="797">
        <f>H487+H488</f>
        <v>6</v>
      </c>
      <c r="I486" s="798" t="s">
        <v>879</v>
      </c>
      <c r="J486" s="798" t="s">
        <v>290</v>
      </c>
      <c r="K486" s="804" t="str">
        <f>VLOOKUP(J486,RKPANL!B:D,2,0)</f>
        <v>Pasang 1 Titik Instalasi Penerangan dan Stop Kontak dengan Kabel NYA 2x2,5 mm</v>
      </c>
      <c r="L486" s="800">
        <f>VLOOKUP(J486,RKPANL!B:D,3,0)</f>
        <v>232084.375</v>
      </c>
      <c r="M486" s="801">
        <f>L486*H486</f>
        <v>1392506.25</v>
      </c>
    </row>
    <row r="487" spans="2:14" outlineLevel="2">
      <c r="B487" s="793"/>
      <c r="C487" s="802"/>
      <c r="D487" s="794">
        <v>2</v>
      </c>
      <c r="E487" s="845" t="s">
        <v>842</v>
      </c>
      <c r="F487" s="795"/>
      <c r="G487" s="796"/>
      <c r="H487" s="797">
        <v>4</v>
      </c>
      <c r="I487" s="798" t="s">
        <v>22</v>
      </c>
      <c r="J487" s="798" t="s">
        <v>613</v>
      </c>
      <c r="K487" s="804" t="str">
        <f>VLOOKUP(J487,RKPANL!B:D,2,0)</f>
        <v>Pasang 1 buah Lampu LED 7 watt + Fitting Down Light</v>
      </c>
      <c r="L487" s="800">
        <f>VLOOKUP(J487,RKPANL!B:D,3,0)</f>
        <v>121813.75</v>
      </c>
      <c r="M487" s="801">
        <f>L487*H487</f>
        <v>487255</v>
      </c>
    </row>
    <row r="488" spans="2:14" outlineLevel="2">
      <c r="B488" s="793"/>
      <c r="C488" s="802"/>
      <c r="D488" s="794">
        <v>3</v>
      </c>
      <c r="E488" s="795" t="s">
        <v>74</v>
      </c>
      <c r="F488" s="795"/>
      <c r="G488" s="796"/>
      <c r="H488" s="797">
        <v>2</v>
      </c>
      <c r="I488" s="798" t="s">
        <v>22</v>
      </c>
      <c r="J488" s="798" t="s">
        <v>295</v>
      </c>
      <c r="K488" s="804" t="str">
        <f>VLOOKUP(J488,RKPANL!B:D,2,0)</f>
        <v>Pasang 1 Set Stop Kontak</v>
      </c>
      <c r="L488" s="800">
        <f>VLOOKUP(J488,RKPANL!B:D,3,0)</f>
        <v>94213.75</v>
      </c>
      <c r="M488" s="801">
        <f>L488*H488</f>
        <v>188427.5</v>
      </c>
    </row>
    <row r="489" spans="2:14" outlineLevel="2">
      <c r="B489" s="793"/>
      <c r="C489" s="802"/>
      <c r="D489" s="794"/>
      <c r="E489" s="812"/>
      <c r="F489" s="795"/>
      <c r="G489" s="796"/>
      <c r="H489" s="797"/>
      <c r="I489" s="798"/>
      <c r="J489" s="798"/>
      <c r="K489" s="804"/>
      <c r="L489" s="800"/>
      <c r="M489" s="801"/>
    </row>
    <row r="490" spans="2:14" ht="15.6" outlineLevel="2">
      <c r="B490" s="793"/>
      <c r="C490" s="848" t="s">
        <v>17</v>
      </c>
      <c r="D490" s="696" t="s">
        <v>486</v>
      </c>
      <c r="E490" s="849"/>
      <c r="F490" s="795"/>
      <c r="G490" s="817"/>
      <c r="H490" s="797"/>
      <c r="I490" s="798"/>
      <c r="J490" s="798"/>
      <c r="K490" s="804"/>
      <c r="L490" s="800"/>
      <c r="M490" s="801"/>
    </row>
    <row r="491" spans="2:14" ht="15.6" outlineLevel="2">
      <c r="B491" s="793"/>
      <c r="C491" s="848"/>
      <c r="D491" s="794">
        <v>1</v>
      </c>
      <c r="E491" s="812" t="s">
        <v>487</v>
      </c>
      <c r="F491" s="795"/>
      <c r="G491" s="817"/>
      <c r="H491" s="797">
        <v>1</v>
      </c>
      <c r="I491" s="798" t="s">
        <v>62</v>
      </c>
      <c r="J491" s="798" t="s">
        <v>253</v>
      </c>
      <c r="K491" s="804" t="str">
        <f>VLOOKUP(J491,RKPANL!B:D,2,0)</f>
        <v>Memasang 1 bh kunci tanam</v>
      </c>
      <c r="L491" s="800">
        <f>VLOOKUP(J491,RKPANL!B:D,3,0)</f>
        <v>305698.75</v>
      </c>
      <c r="M491" s="801">
        <f>L491*H491</f>
        <v>305698.75</v>
      </c>
    </row>
    <row r="492" spans="2:14" ht="15.6" outlineLevel="2">
      <c r="B492" s="793"/>
      <c r="C492" s="848"/>
      <c r="D492" s="794">
        <v>2</v>
      </c>
      <c r="E492" s="812" t="s">
        <v>488</v>
      </c>
      <c r="F492" s="795"/>
      <c r="G492" s="817"/>
      <c r="H492" s="797">
        <v>1</v>
      </c>
      <c r="I492" s="798" t="s">
        <v>62</v>
      </c>
      <c r="J492" s="798" t="s">
        <v>856</v>
      </c>
      <c r="K492" s="804" t="str">
        <f>VLOOKUP(J492,RKPANL!B:D,2,0)</f>
        <v>Memasang 1 bh engsel jendela Alumunium</v>
      </c>
      <c r="L492" s="800">
        <f>VLOOKUP(J492,RKPANL!B:D,3,0)</f>
        <v>112714.375</v>
      </c>
      <c r="M492" s="801">
        <f>L492*H492</f>
        <v>112714.375</v>
      </c>
    </row>
    <row r="493" spans="2:14" ht="15.6" outlineLevel="2">
      <c r="B493" s="851"/>
      <c r="C493" s="848"/>
      <c r="D493" s="794"/>
      <c r="E493" s="794"/>
      <c r="F493" s="795"/>
      <c r="G493" s="817"/>
      <c r="H493" s="797"/>
      <c r="I493" s="798"/>
      <c r="J493" s="798"/>
      <c r="K493" s="804"/>
      <c r="L493" s="800"/>
      <c r="M493" s="801"/>
    </row>
    <row r="494" spans="2:14" ht="15.6" outlineLevel="2">
      <c r="B494" s="793"/>
      <c r="C494" s="848" t="s">
        <v>16</v>
      </c>
      <c r="D494" s="696" t="s">
        <v>483</v>
      </c>
      <c r="E494" s="849"/>
      <c r="F494" s="795"/>
      <c r="G494" s="817"/>
      <c r="H494" s="797"/>
      <c r="I494" s="798"/>
      <c r="J494" s="798"/>
      <c r="K494" s="804"/>
      <c r="L494" s="800"/>
      <c r="M494" s="801"/>
    </row>
    <row r="495" spans="2:14" ht="15.6" outlineLevel="2">
      <c r="B495" s="793"/>
      <c r="C495" s="848"/>
      <c r="D495" s="794">
        <v>1</v>
      </c>
      <c r="E495" s="812" t="s">
        <v>425</v>
      </c>
      <c r="F495" s="795"/>
      <c r="G495" s="817"/>
      <c r="H495" s="797">
        <v>103</v>
      </c>
      <c r="I495" s="798" t="s">
        <v>133</v>
      </c>
      <c r="J495" s="829" t="s">
        <v>661</v>
      </c>
      <c r="K495" s="804" t="e">
        <f>VLOOKUP(J495,RKPANL!B:D,2,0)</f>
        <v>#N/A</v>
      </c>
      <c r="L495" s="800">
        <v>150000</v>
      </c>
      <c r="M495" s="801">
        <f>L495*H495</f>
        <v>15450000</v>
      </c>
    </row>
    <row r="496" spans="2:14" ht="15.6" outlineLevel="2">
      <c r="B496" s="793"/>
      <c r="C496" s="848"/>
      <c r="D496" s="794">
        <v>2</v>
      </c>
      <c r="E496" s="812" t="s">
        <v>462</v>
      </c>
      <c r="F496" s="795"/>
      <c r="G496" s="817"/>
      <c r="H496" s="797">
        <f>H495</f>
        <v>103</v>
      </c>
      <c r="I496" s="798" t="s">
        <v>133</v>
      </c>
      <c r="J496" s="798" t="s">
        <v>278</v>
      </c>
      <c r="K496" s="804" t="str">
        <f>VLOOKUP(J496,RKPANL!B:D,2,0)</f>
        <v xml:space="preserve">Pemasangan 1 m2 langit-langit Pvc t 8mm </v>
      </c>
      <c r="L496" s="800">
        <f>VLOOKUP(J496,RKPANL!B:D,3,0)</f>
        <v>153475</v>
      </c>
      <c r="M496" s="801">
        <f>L496*H496</f>
        <v>15807925</v>
      </c>
    </row>
    <row r="497" spans="2:14" ht="15.6" outlineLevel="2">
      <c r="B497" s="793"/>
      <c r="C497" s="848"/>
      <c r="D497" s="794">
        <v>3</v>
      </c>
      <c r="E497" s="812" t="s">
        <v>463</v>
      </c>
      <c r="F497" s="795"/>
      <c r="G497" s="817"/>
      <c r="H497" s="797">
        <v>41.7</v>
      </c>
      <c r="I497" s="798" t="s">
        <v>133</v>
      </c>
      <c r="J497" s="798" t="s">
        <v>280</v>
      </c>
      <c r="K497" s="804" t="str">
        <f>VLOOKUP(J497,RKPANL!B:D,2,0)</f>
        <v xml:space="preserve">Pemasangan 1 m' List plafond PVC </v>
      </c>
      <c r="L497" s="800">
        <f>VLOOKUP(J497,RKPANL!B:D,3,0)</f>
        <v>44020.75</v>
      </c>
      <c r="M497" s="801">
        <f>L497*H497</f>
        <v>1835665.2750000001</v>
      </c>
    </row>
    <row r="498" spans="2:14" ht="15.6" outlineLevel="2">
      <c r="B498" s="851"/>
      <c r="C498" s="848"/>
      <c r="D498" s="794"/>
      <c r="E498" s="794"/>
      <c r="F498" s="795"/>
      <c r="G498" s="817"/>
      <c r="H498" s="797"/>
      <c r="I498" s="798"/>
      <c r="J498" s="798"/>
      <c r="K498" s="804"/>
      <c r="L498" s="800"/>
      <c r="M498" s="801"/>
    </row>
    <row r="499" spans="2:14" ht="15.6" outlineLevel="2">
      <c r="B499" s="793"/>
      <c r="C499" s="848" t="s">
        <v>17</v>
      </c>
      <c r="D499" s="696" t="s">
        <v>422</v>
      </c>
      <c r="E499" s="849"/>
      <c r="F499" s="795"/>
      <c r="G499" s="817"/>
      <c r="H499" s="797"/>
      <c r="I499" s="798"/>
      <c r="J499" s="798"/>
      <c r="K499" s="804"/>
      <c r="L499" s="800"/>
      <c r="M499" s="801"/>
    </row>
    <row r="500" spans="2:14" ht="15.6" outlineLevel="2">
      <c r="B500" s="793"/>
      <c r="C500" s="848"/>
      <c r="D500" s="850">
        <v>1</v>
      </c>
      <c r="E500" s="845" t="s">
        <v>919</v>
      </c>
      <c r="F500" s="795"/>
      <c r="G500" s="817"/>
      <c r="H500" s="797">
        <f>H497*3</f>
        <v>125.10000000000001</v>
      </c>
      <c r="I500" s="798" t="s">
        <v>133</v>
      </c>
      <c r="J500" s="798" t="s">
        <v>139</v>
      </c>
      <c r="K500" s="804" t="str">
        <f>VLOOKUP(J500,RKPANL!B:D,2,0)</f>
        <v>Pengecatan 1 m2 tembok baru (1 lapis plamuur, 1 lapis cat dasar, 2
lapis cat penutup)</v>
      </c>
      <c r="L500" s="800">
        <f>VLOOKUP(J500,RKPANL!B:D,3,0)</f>
        <v>55114.9</v>
      </c>
      <c r="M500" s="801">
        <f>L500*H500</f>
        <v>6894873.9900000002</v>
      </c>
    </row>
    <row r="501" spans="2:14" outlineLevel="2">
      <c r="B501" s="793"/>
      <c r="C501" s="802"/>
      <c r="D501" s="794"/>
      <c r="E501" s="795"/>
      <c r="F501" s="795"/>
      <c r="G501" s="796"/>
      <c r="H501" s="797"/>
      <c r="I501" s="798"/>
      <c r="J501" s="798"/>
      <c r="K501" s="806"/>
      <c r="L501" s="800"/>
      <c r="M501" s="801"/>
    </row>
    <row r="502" spans="2:14" ht="15.6">
      <c r="B502" s="807"/>
      <c r="C502" s="808"/>
      <c r="D502" s="808"/>
      <c r="E502" s="808"/>
      <c r="F502" s="808"/>
      <c r="G502" s="808"/>
      <c r="H502" s="809"/>
      <c r="I502" s="808"/>
      <c r="J502" s="808"/>
      <c r="K502" s="1224" t="s">
        <v>504</v>
      </c>
      <c r="L502" s="1225"/>
      <c r="M502" s="810">
        <f>SUM(M486:M501)</f>
        <v>42475066.140000001</v>
      </c>
      <c r="N502" s="879">
        <f>M502</f>
        <v>42475066.140000001</v>
      </c>
    </row>
    <row r="503" spans="2:14" ht="15.6">
      <c r="B503" s="851" t="s">
        <v>330</v>
      </c>
      <c r="C503" s="874" t="s">
        <v>492</v>
      </c>
      <c r="E503" s="875"/>
      <c r="F503" s="795"/>
      <c r="G503" s="796"/>
      <c r="H503" s="797"/>
      <c r="I503" s="798"/>
      <c r="J503" s="798"/>
      <c r="K503" s="876"/>
      <c r="L503" s="877"/>
      <c r="M503" s="878"/>
    </row>
    <row r="504" spans="2:14" ht="15.6" outlineLevel="2">
      <c r="B504" s="793"/>
      <c r="C504" s="848" t="s">
        <v>2</v>
      </c>
      <c r="D504" s="696" t="s">
        <v>491</v>
      </c>
      <c r="E504" s="849"/>
      <c r="F504" s="795"/>
      <c r="G504" s="796"/>
      <c r="H504" s="797"/>
      <c r="I504" s="798"/>
      <c r="J504" s="798"/>
      <c r="K504" s="799"/>
      <c r="L504" s="800"/>
      <c r="M504" s="801"/>
    </row>
    <row r="505" spans="2:14" outlineLevel="2">
      <c r="B505" s="793"/>
      <c r="C505" s="802"/>
      <c r="D505" s="850">
        <v>1</v>
      </c>
      <c r="E505" s="845" t="s">
        <v>900</v>
      </c>
      <c r="F505" s="795"/>
      <c r="G505" s="796"/>
      <c r="H505" s="797">
        <f>H506+H507</f>
        <v>8</v>
      </c>
      <c r="I505" s="798" t="s">
        <v>879</v>
      </c>
      <c r="J505" s="798" t="s">
        <v>290</v>
      </c>
      <c r="K505" s="804" t="str">
        <f>VLOOKUP(J505,RKPANL!B:D,2,0)</f>
        <v>Pasang 1 Titik Instalasi Penerangan dan Stop Kontak dengan Kabel NYA 2x2,5 mm</v>
      </c>
      <c r="L505" s="800">
        <f>VLOOKUP(J505,RKPANL!B:D,3,0)</f>
        <v>232084.375</v>
      </c>
      <c r="M505" s="801">
        <f>L505*H505</f>
        <v>1856675</v>
      </c>
    </row>
    <row r="506" spans="2:14" outlineLevel="2">
      <c r="B506" s="793"/>
      <c r="C506" s="802"/>
      <c r="D506" s="794">
        <v>2</v>
      </c>
      <c r="E506" s="845" t="s">
        <v>842</v>
      </c>
      <c r="F506" s="795"/>
      <c r="G506" s="796"/>
      <c r="H506" s="797">
        <v>6</v>
      </c>
      <c r="I506" s="798" t="s">
        <v>22</v>
      </c>
      <c r="J506" s="798" t="s">
        <v>613</v>
      </c>
      <c r="K506" s="804" t="str">
        <f>VLOOKUP(J506,RKPANL!B:D,2,0)</f>
        <v>Pasang 1 buah Lampu LED 7 watt + Fitting Down Light</v>
      </c>
      <c r="L506" s="800">
        <f>VLOOKUP(J506,RKPANL!B:D,3,0)</f>
        <v>121813.75</v>
      </c>
      <c r="M506" s="801">
        <f>L506*H506</f>
        <v>730882.5</v>
      </c>
    </row>
    <row r="507" spans="2:14" outlineLevel="2">
      <c r="B507" s="793"/>
      <c r="C507" s="802"/>
      <c r="D507" s="794">
        <v>3</v>
      </c>
      <c r="E507" s="795" t="s">
        <v>74</v>
      </c>
      <c r="F507" s="795"/>
      <c r="G507" s="796"/>
      <c r="H507" s="797">
        <v>2</v>
      </c>
      <c r="I507" s="798" t="s">
        <v>22</v>
      </c>
      <c r="J507" s="798" t="s">
        <v>295</v>
      </c>
      <c r="K507" s="804" t="str">
        <f>VLOOKUP(J507,RKPANL!B:D,2,0)</f>
        <v>Pasang 1 Set Stop Kontak</v>
      </c>
      <c r="L507" s="800">
        <f>VLOOKUP(J507,RKPANL!B:D,3,0)</f>
        <v>94213.75</v>
      </c>
      <c r="M507" s="801">
        <f>L507*H507</f>
        <v>188427.5</v>
      </c>
    </row>
    <row r="508" spans="2:14" outlineLevel="2">
      <c r="B508" s="793"/>
      <c r="C508" s="802"/>
      <c r="D508" s="794"/>
      <c r="E508" s="812"/>
      <c r="F508" s="795"/>
      <c r="G508" s="796"/>
      <c r="H508" s="797"/>
      <c r="I508" s="798"/>
      <c r="J508" s="798"/>
      <c r="K508" s="804"/>
      <c r="L508" s="800"/>
      <c r="M508" s="801"/>
    </row>
    <row r="509" spans="2:14" ht="15.6" outlineLevel="2">
      <c r="B509" s="793"/>
      <c r="C509" s="848" t="s">
        <v>17</v>
      </c>
      <c r="D509" s="696" t="s">
        <v>486</v>
      </c>
      <c r="E509" s="849"/>
      <c r="F509" s="795"/>
      <c r="G509" s="817"/>
      <c r="H509" s="797"/>
      <c r="I509" s="798"/>
      <c r="J509" s="798"/>
      <c r="K509" s="804"/>
      <c r="L509" s="800"/>
      <c r="M509" s="801"/>
    </row>
    <row r="510" spans="2:14" ht="15.6" outlineLevel="2">
      <c r="B510" s="793"/>
      <c r="C510" s="848"/>
      <c r="D510" s="794">
        <v>1</v>
      </c>
      <c r="E510" s="812" t="s">
        <v>487</v>
      </c>
      <c r="F510" s="795"/>
      <c r="G510" s="817"/>
      <c r="H510" s="797">
        <v>1</v>
      </c>
      <c r="I510" s="798" t="s">
        <v>62</v>
      </c>
      <c r="J510" s="798" t="s">
        <v>253</v>
      </c>
      <c r="K510" s="804" t="str">
        <f>VLOOKUP(J510,RKPANL!B:D,2,0)</f>
        <v>Memasang 1 bh kunci tanam</v>
      </c>
      <c r="L510" s="800">
        <f>VLOOKUP(J510,RKPANL!B:D,3,0)</f>
        <v>305698.75</v>
      </c>
      <c r="M510" s="801">
        <f>L510*H510</f>
        <v>305698.75</v>
      </c>
    </row>
    <row r="511" spans="2:14" ht="15.6" outlineLevel="2">
      <c r="B511" s="851"/>
      <c r="C511" s="848"/>
      <c r="D511" s="794"/>
      <c r="E511" s="794"/>
      <c r="F511" s="795"/>
      <c r="G511" s="817"/>
      <c r="H511" s="797"/>
      <c r="I511" s="798"/>
      <c r="J511" s="798"/>
      <c r="K511" s="804"/>
      <c r="L511" s="800"/>
      <c r="M511" s="801"/>
    </row>
    <row r="512" spans="2:14" ht="15.6" outlineLevel="2">
      <c r="B512" s="793"/>
      <c r="C512" s="848" t="s">
        <v>16</v>
      </c>
      <c r="D512" s="696" t="s">
        <v>483</v>
      </c>
      <c r="E512" s="849"/>
      <c r="F512" s="795"/>
      <c r="G512" s="817"/>
      <c r="H512" s="797"/>
      <c r="I512" s="798"/>
      <c r="J512" s="798"/>
      <c r="K512" s="804"/>
      <c r="L512" s="800"/>
      <c r="M512" s="801"/>
    </row>
    <row r="513" spans="2:14" ht="15.6" outlineLevel="2">
      <c r="B513" s="793"/>
      <c r="C513" s="848"/>
      <c r="D513" s="794">
        <v>1</v>
      </c>
      <c r="E513" s="812" t="s">
        <v>425</v>
      </c>
      <c r="F513" s="795"/>
      <c r="G513" s="817"/>
      <c r="H513" s="797">
        <v>12</v>
      </c>
      <c r="I513" s="798" t="s">
        <v>133</v>
      </c>
      <c r="J513" s="829" t="s">
        <v>661</v>
      </c>
      <c r="K513" s="804" t="e">
        <f>VLOOKUP(J513,RKPANL!B:D,2,0)</f>
        <v>#N/A</v>
      </c>
      <c r="L513" s="800">
        <v>150000</v>
      </c>
      <c r="M513" s="801">
        <f>L513*H513</f>
        <v>1800000</v>
      </c>
    </row>
    <row r="514" spans="2:14" ht="15.6" outlineLevel="2">
      <c r="B514" s="793"/>
      <c r="C514" s="848"/>
      <c r="D514" s="794">
        <v>2</v>
      </c>
      <c r="E514" s="812" t="s">
        <v>493</v>
      </c>
      <c r="F514" s="795"/>
      <c r="G514" s="817"/>
      <c r="H514" s="797">
        <f>H513</f>
        <v>12</v>
      </c>
      <c r="I514" s="798" t="s">
        <v>133</v>
      </c>
      <c r="J514" s="798" t="s">
        <v>278</v>
      </c>
      <c r="K514" s="804" t="str">
        <f>VLOOKUP(J514,RKPANL!B:D,2,0)</f>
        <v xml:space="preserve">Pemasangan 1 m2 langit-langit Pvc t 8mm </v>
      </c>
      <c r="L514" s="800">
        <f>VLOOKUP(J514,RKPANL!B:D,3,0)</f>
        <v>153475</v>
      </c>
      <c r="M514" s="801">
        <f>L514*H514</f>
        <v>1841700</v>
      </c>
    </row>
    <row r="515" spans="2:14" ht="15.6" outlineLevel="2">
      <c r="B515" s="793"/>
      <c r="C515" s="848"/>
      <c r="D515" s="794">
        <v>3</v>
      </c>
      <c r="E515" s="812" t="s">
        <v>463</v>
      </c>
      <c r="F515" s="795"/>
      <c r="G515" s="817"/>
      <c r="H515" s="797">
        <f>4*2+3*2</f>
        <v>14</v>
      </c>
      <c r="I515" s="798" t="s">
        <v>133</v>
      </c>
      <c r="J515" s="798" t="s">
        <v>280</v>
      </c>
      <c r="K515" s="804" t="str">
        <f>VLOOKUP(J515,RKPANL!B:D,2,0)</f>
        <v xml:space="preserve">Pemasangan 1 m' List plafond PVC </v>
      </c>
      <c r="L515" s="800">
        <f>VLOOKUP(J515,RKPANL!B:D,3,0)</f>
        <v>44020.75</v>
      </c>
      <c r="M515" s="801">
        <f>L515*H515</f>
        <v>616290.5</v>
      </c>
    </row>
    <row r="516" spans="2:14" ht="15.6" outlineLevel="2">
      <c r="B516" s="851"/>
      <c r="C516" s="848"/>
      <c r="D516" s="794"/>
      <c r="E516" s="794"/>
      <c r="F516" s="795"/>
      <c r="G516" s="817"/>
      <c r="H516" s="797"/>
      <c r="I516" s="798"/>
      <c r="J516" s="798"/>
      <c r="K516" s="804"/>
      <c r="L516" s="800"/>
      <c r="M516" s="801"/>
    </row>
    <row r="517" spans="2:14" ht="15.6" outlineLevel="2">
      <c r="B517" s="793"/>
      <c r="C517" s="848" t="s">
        <v>17</v>
      </c>
      <c r="D517" s="696" t="s">
        <v>422</v>
      </c>
      <c r="E517" s="849"/>
      <c r="F517" s="795"/>
      <c r="G517" s="817"/>
      <c r="H517" s="797"/>
      <c r="I517" s="798"/>
      <c r="J517" s="798"/>
      <c r="K517" s="804"/>
      <c r="L517" s="800"/>
      <c r="M517" s="801"/>
    </row>
    <row r="518" spans="2:14" ht="15.6" outlineLevel="2">
      <c r="B518" s="793"/>
      <c r="C518" s="848"/>
      <c r="D518" s="850">
        <v>1</v>
      </c>
      <c r="E518" s="845" t="s">
        <v>919</v>
      </c>
      <c r="F518" s="795"/>
      <c r="G518" s="817"/>
      <c r="H518" s="797">
        <f>44.7*3</f>
        <v>134.10000000000002</v>
      </c>
      <c r="I518" s="798" t="s">
        <v>133</v>
      </c>
      <c r="J518" s="798" t="s">
        <v>139</v>
      </c>
      <c r="K518" s="804" t="str">
        <f>VLOOKUP(J518,RKPANL!B:D,2,0)</f>
        <v>Pengecatan 1 m2 tembok baru (1 lapis plamuur, 1 lapis cat dasar, 2
lapis cat penutup)</v>
      </c>
      <c r="L518" s="800">
        <f>VLOOKUP(J518,RKPANL!B:D,3,0)</f>
        <v>55114.9</v>
      </c>
      <c r="M518" s="801">
        <f>L518*H518</f>
        <v>7390908.0900000017</v>
      </c>
    </row>
    <row r="519" spans="2:14" outlineLevel="2">
      <c r="B519" s="793"/>
      <c r="C519" s="802"/>
      <c r="D519" s="794"/>
      <c r="E519" s="795"/>
      <c r="F519" s="795"/>
      <c r="G519" s="796"/>
      <c r="H519" s="797"/>
      <c r="I519" s="798"/>
      <c r="J519" s="798"/>
      <c r="K519" s="806"/>
      <c r="L519" s="800"/>
      <c r="M519" s="801"/>
    </row>
    <row r="520" spans="2:14" ht="15.6">
      <c r="B520" s="807"/>
      <c r="C520" s="808"/>
      <c r="D520" s="808"/>
      <c r="E520" s="808"/>
      <c r="F520" s="808"/>
      <c r="G520" s="808"/>
      <c r="H520" s="809"/>
      <c r="I520" s="808"/>
      <c r="J520" s="808"/>
      <c r="K520" s="1224" t="s">
        <v>505</v>
      </c>
      <c r="L520" s="1225"/>
      <c r="M520" s="810">
        <f>SUM(M505:M519)</f>
        <v>14730582.340000002</v>
      </c>
      <c r="N520" s="879">
        <f>M520</f>
        <v>14730582.340000002</v>
      </c>
    </row>
    <row r="521" spans="2:14" ht="15.6">
      <c r="B521" s="851" t="s">
        <v>501</v>
      </c>
      <c r="C521" s="874" t="s">
        <v>494</v>
      </c>
      <c r="E521" s="875"/>
      <c r="F521" s="795"/>
      <c r="G521" s="796"/>
      <c r="H521" s="797"/>
      <c r="I521" s="798"/>
      <c r="J521" s="798"/>
      <c r="K521" s="876"/>
      <c r="L521" s="877"/>
      <c r="M521" s="878"/>
    </row>
    <row r="522" spans="2:14" outlineLevel="2">
      <c r="B522" s="793"/>
      <c r="C522" s="802"/>
      <c r="D522" s="794">
        <v>1</v>
      </c>
      <c r="E522" s="845" t="s">
        <v>842</v>
      </c>
      <c r="F522" s="795"/>
      <c r="G522" s="796"/>
      <c r="H522" s="797">
        <v>8</v>
      </c>
      <c r="I522" s="798" t="s">
        <v>22</v>
      </c>
      <c r="J522" s="798" t="s">
        <v>613</v>
      </c>
      <c r="K522" s="804" t="str">
        <f>VLOOKUP(J522,RKPANL!B:D,2,0)</f>
        <v>Pasang 1 buah Lampu LED 7 watt + Fitting Down Light</v>
      </c>
      <c r="L522" s="800">
        <f>VLOOKUP(J522,RKPANL!B:D,3,0)</f>
        <v>121813.75</v>
      </c>
      <c r="M522" s="801">
        <f>L522*H522</f>
        <v>974510</v>
      </c>
    </row>
    <row r="523" spans="2:14" ht="15.6" outlineLevel="2">
      <c r="B523" s="793"/>
      <c r="C523" s="848"/>
      <c r="D523" s="794">
        <v>2</v>
      </c>
      <c r="E523" s="812" t="s">
        <v>487</v>
      </c>
      <c r="F523" s="795"/>
      <c r="G523" s="817"/>
      <c r="H523" s="797">
        <v>1</v>
      </c>
      <c r="I523" s="798" t="s">
        <v>62</v>
      </c>
      <c r="J523" s="798" t="s">
        <v>253</v>
      </c>
      <c r="K523" s="804" t="str">
        <f>VLOOKUP(J523,RKPANL!B:D,2,0)</f>
        <v>Memasang 1 bh kunci tanam</v>
      </c>
      <c r="L523" s="800">
        <f>VLOOKUP(J523,RKPANL!B:D,3,0)</f>
        <v>305698.75</v>
      </c>
      <c r="M523" s="801">
        <f>L523*H523</f>
        <v>305698.75</v>
      </c>
    </row>
    <row r="524" spans="2:14" ht="15.6" outlineLevel="2">
      <c r="B524" s="793"/>
      <c r="C524" s="848"/>
      <c r="D524" s="850">
        <v>3</v>
      </c>
      <c r="E524" s="845" t="s">
        <v>919</v>
      </c>
      <c r="F524" s="795"/>
      <c r="G524" s="817"/>
      <c r="H524" s="797">
        <f>48*3</f>
        <v>144</v>
      </c>
      <c r="I524" s="798" t="s">
        <v>133</v>
      </c>
      <c r="J524" s="798" t="s">
        <v>139</v>
      </c>
      <c r="K524" s="804" t="str">
        <f>VLOOKUP(J524,RKPANL!B:D,2,0)</f>
        <v>Pengecatan 1 m2 tembok baru (1 lapis plamuur, 1 lapis cat dasar, 2
lapis cat penutup)</v>
      </c>
      <c r="L524" s="800">
        <f>VLOOKUP(J524,RKPANL!B:D,3,0)</f>
        <v>55114.9</v>
      </c>
      <c r="M524" s="801">
        <f>L524*H524</f>
        <v>7936545.6000000006</v>
      </c>
    </row>
    <row r="525" spans="2:14" outlineLevel="2">
      <c r="B525" s="793"/>
      <c r="C525" s="802"/>
      <c r="D525" s="794"/>
      <c r="E525" s="795"/>
      <c r="F525" s="795"/>
      <c r="G525" s="796"/>
      <c r="H525" s="797"/>
      <c r="I525" s="798"/>
      <c r="J525" s="798"/>
      <c r="K525" s="806"/>
      <c r="L525" s="800"/>
      <c r="M525" s="801"/>
    </row>
    <row r="526" spans="2:14" ht="15.6">
      <c r="B526" s="807"/>
      <c r="C526" s="808"/>
      <c r="D526" s="808"/>
      <c r="E526" s="808"/>
      <c r="F526" s="808"/>
      <c r="G526" s="808"/>
      <c r="H526" s="809"/>
      <c r="I526" s="808"/>
      <c r="J526" s="808"/>
      <c r="K526" s="1224" t="s">
        <v>506</v>
      </c>
      <c r="L526" s="1225"/>
      <c r="M526" s="810">
        <f>SUM(M522:M525)</f>
        <v>9216754.3500000015</v>
      </c>
      <c r="N526" s="879">
        <f>M526</f>
        <v>9216754.3500000015</v>
      </c>
    </row>
    <row r="527" spans="2:14" ht="15.6">
      <c r="B527" s="851" t="s">
        <v>286</v>
      </c>
      <c r="C527" s="874" t="s">
        <v>499</v>
      </c>
      <c r="E527" s="875"/>
      <c r="F527" s="795"/>
      <c r="G527" s="796"/>
      <c r="H527" s="797"/>
      <c r="I527" s="798"/>
      <c r="J527" s="798"/>
      <c r="K527" s="876"/>
      <c r="L527" s="877"/>
      <c r="M527" s="878"/>
    </row>
    <row r="528" spans="2:14" ht="15.6" outlineLevel="1">
      <c r="B528" s="880"/>
      <c r="C528" s="881" t="s">
        <v>813</v>
      </c>
      <c r="D528" s="696" t="s">
        <v>465</v>
      </c>
      <c r="E528" s="875"/>
      <c r="F528" s="795"/>
      <c r="G528" s="796"/>
      <c r="H528" s="797"/>
      <c r="I528" s="798"/>
      <c r="J528" s="798"/>
      <c r="K528" s="895"/>
      <c r="L528" s="877"/>
      <c r="M528" s="878"/>
    </row>
    <row r="529" spans="2:13" ht="15.6" outlineLevel="2">
      <c r="B529" s="793"/>
      <c r="C529" s="848" t="s">
        <v>2</v>
      </c>
      <c r="D529" s="696" t="s">
        <v>466</v>
      </c>
      <c r="E529" s="849"/>
      <c r="F529" s="795"/>
      <c r="G529" s="796"/>
      <c r="H529" s="797"/>
      <c r="I529" s="798"/>
      <c r="J529" s="798"/>
      <c r="K529" s="799"/>
      <c r="L529" s="800"/>
      <c r="M529" s="801"/>
    </row>
    <row r="530" spans="2:13" outlineLevel="2">
      <c r="B530" s="793"/>
      <c r="C530" s="802"/>
      <c r="D530" s="794">
        <v>1</v>
      </c>
      <c r="E530" s="795" t="s">
        <v>899</v>
      </c>
      <c r="F530" s="795"/>
      <c r="G530" s="796"/>
      <c r="H530" s="797">
        <f>M!R143</f>
        <v>1</v>
      </c>
      <c r="I530" s="798" t="str">
        <f>M!S143</f>
        <v>Ls</v>
      </c>
      <c r="J530" s="798" t="s">
        <v>73</v>
      </c>
      <c r="K530" s="804" t="e">
        <f>VLOOKUP(J530,RKPANL!B:D,2,0)</f>
        <v>#N/A</v>
      </c>
      <c r="L530" s="800">
        <v>2000000</v>
      </c>
      <c r="M530" s="801">
        <f>L530*H530</f>
        <v>2000000</v>
      </c>
    </row>
    <row r="531" spans="2:13" outlineLevel="2">
      <c r="B531" s="793"/>
      <c r="C531" s="802"/>
      <c r="D531" s="794">
        <v>2</v>
      </c>
      <c r="E531" s="795" t="s">
        <v>469</v>
      </c>
      <c r="F531" s="795"/>
      <c r="G531" s="796"/>
      <c r="H531" s="797"/>
      <c r="I531" s="798"/>
      <c r="J531" s="798"/>
      <c r="K531" s="804"/>
      <c r="L531" s="800"/>
      <c r="M531" s="801"/>
    </row>
    <row r="532" spans="2:13" outlineLevel="2">
      <c r="B532" s="793"/>
      <c r="C532" s="802"/>
      <c r="D532" s="794"/>
      <c r="E532" s="803" t="s">
        <v>850</v>
      </c>
      <c r="F532" s="795"/>
      <c r="G532" s="796"/>
      <c r="H532" s="797">
        <f>M!R145</f>
        <v>0.27</v>
      </c>
      <c r="I532" s="798" t="str">
        <f>M!S145</f>
        <v>M3</v>
      </c>
      <c r="J532" s="798" t="s">
        <v>439</v>
      </c>
      <c r="K532" s="804" t="str">
        <f>VLOOKUP(J532,RKPANL!B:D,2,0)</f>
        <v>Membuat 1 m3 beton mutu f’c = 14,5 Mpa (K175)</v>
      </c>
      <c r="L532" s="800">
        <f>VLOOKUP(J532,RKPANL!B:D,3,0)</f>
        <v>1342419.010989011</v>
      </c>
      <c r="M532" s="801">
        <f t="shared" ref="M532:M535" si="17">L532*H532</f>
        <v>362453.13296703302</v>
      </c>
    </row>
    <row r="533" spans="2:13" outlineLevel="2">
      <c r="B533" s="793"/>
      <c r="C533" s="802"/>
      <c r="D533" s="794"/>
      <c r="E533" s="803" t="s">
        <v>851</v>
      </c>
      <c r="F533" s="795"/>
      <c r="G533" s="796"/>
      <c r="H533" s="797">
        <f>M!R151</f>
        <v>31.945104000000001</v>
      </c>
      <c r="I533" s="798" t="str">
        <f>M!S151</f>
        <v>Kg</v>
      </c>
      <c r="J533" s="798" t="s">
        <v>105</v>
      </c>
      <c r="K533" s="804" t="str">
        <f>VLOOKUP(J533,RKPANL!B:D,2,0)</f>
        <v xml:space="preserve">Pembesian 1 kg dengan besi polos Pembesian untuk 10 kg dengan besi polos </v>
      </c>
      <c r="L533" s="800">
        <f>VLOOKUP(J533,RKPANL!B:D,3,0)</f>
        <v>19744.349999999999</v>
      </c>
      <c r="M533" s="801">
        <f t="shared" si="17"/>
        <v>630735.31416239997</v>
      </c>
    </row>
    <row r="534" spans="2:13" outlineLevel="2">
      <c r="B534" s="793"/>
      <c r="C534" s="802"/>
      <c r="D534" s="794"/>
      <c r="E534" s="803" t="s">
        <v>892</v>
      </c>
      <c r="F534" s="795"/>
      <c r="G534" s="796"/>
      <c r="H534" s="797">
        <f>M!R152</f>
        <v>16.327497600000001</v>
      </c>
      <c r="I534" s="798" t="str">
        <f>M!S152</f>
        <v>Kg</v>
      </c>
      <c r="J534" s="798" t="s">
        <v>105</v>
      </c>
      <c r="K534" s="804" t="str">
        <f>VLOOKUP(J534,RKPANL!B:D,2,0)</f>
        <v xml:space="preserve">Pembesian 1 kg dengan besi polos Pembesian untuk 10 kg dengan besi polos </v>
      </c>
      <c r="L534" s="800">
        <f>VLOOKUP(J534,RKPANL!B:D,3,0)</f>
        <v>19744.349999999999</v>
      </c>
      <c r="M534" s="801">
        <f t="shared" si="17"/>
        <v>322375.82723856001</v>
      </c>
    </row>
    <row r="535" spans="2:13" outlineLevel="2">
      <c r="B535" s="793"/>
      <c r="C535" s="802"/>
      <c r="D535" s="794"/>
      <c r="E535" s="803" t="s">
        <v>244</v>
      </c>
      <c r="F535" s="795"/>
      <c r="G535" s="796"/>
      <c r="H535" s="797">
        <f>M!R165</f>
        <v>4.95</v>
      </c>
      <c r="I535" s="798" t="str">
        <f>M!S165</f>
        <v>M2</v>
      </c>
      <c r="J535" s="798" t="s">
        <v>108</v>
      </c>
      <c r="K535" s="804" t="str">
        <f>VLOOKUP(J535,RKPANL!B:D,2,0)</f>
        <v>Pemasangan 1 m2 bekisting untuk sloof / kolom praktis</v>
      </c>
      <c r="L535" s="800">
        <f>VLOOKUP(J535,RKPANL!B:D,3,0)</f>
        <v>318285.5</v>
      </c>
      <c r="M535" s="801">
        <f t="shared" si="17"/>
        <v>1575513.2250000001</v>
      </c>
    </row>
    <row r="536" spans="2:13" outlineLevel="2">
      <c r="B536" s="793"/>
      <c r="C536" s="802"/>
      <c r="D536" s="794">
        <v>3</v>
      </c>
      <c r="E536" s="795" t="s">
        <v>713</v>
      </c>
      <c r="F536" s="795"/>
      <c r="G536" s="796"/>
      <c r="H536" s="797">
        <f>M!R169</f>
        <v>12</v>
      </c>
      <c r="I536" s="798" t="str">
        <f>M!S169</f>
        <v>M'</v>
      </c>
      <c r="J536" s="798" t="s">
        <v>178</v>
      </c>
      <c r="K536" s="804" t="str">
        <f>VLOOKUP(J536,RKPANL!B:D,2,0)</f>
        <v>Membuat 1 m’ kolom praktis beton bertulang (11 x 11) cm</v>
      </c>
      <c r="L536" s="800">
        <f>VLOOKUP(J536,RKPANL!B:D,3,0)</f>
        <v>119594.25</v>
      </c>
      <c r="M536" s="801">
        <f>L536*H536</f>
        <v>1435131</v>
      </c>
    </row>
    <row r="537" spans="2:13" outlineLevel="2">
      <c r="B537" s="793"/>
      <c r="C537" s="802"/>
      <c r="D537" s="794"/>
      <c r="E537" s="812"/>
      <c r="F537" s="795"/>
      <c r="G537" s="796"/>
      <c r="H537" s="797"/>
      <c r="I537" s="798"/>
      <c r="J537" s="798"/>
      <c r="K537" s="804"/>
      <c r="L537" s="800"/>
      <c r="M537" s="801"/>
    </row>
    <row r="538" spans="2:13" ht="15.6" outlineLevel="2">
      <c r="B538" s="793"/>
      <c r="C538" s="848" t="s">
        <v>16</v>
      </c>
      <c r="D538" s="696" t="s">
        <v>648</v>
      </c>
      <c r="E538" s="849"/>
      <c r="F538" s="795"/>
      <c r="G538" s="817"/>
      <c r="H538" s="797"/>
      <c r="I538" s="798"/>
      <c r="J538" s="798"/>
      <c r="K538" s="804"/>
      <c r="L538" s="800"/>
      <c r="M538" s="801"/>
    </row>
    <row r="539" spans="2:13" ht="15.6" outlineLevel="2">
      <c r="B539" s="793"/>
      <c r="C539" s="848"/>
      <c r="D539" s="794">
        <v>1</v>
      </c>
      <c r="E539" s="812" t="s">
        <v>468</v>
      </c>
      <c r="F539" s="795"/>
      <c r="G539" s="817"/>
      <c r="H539" s="797">
        <f>2*5*3.5</f>
        <v>35</v>
      </c>
      <c r="I539" s="798" t="s">
        <v>133</v>
      </c>
      <c r="J539" s="829" t="s">
        <v>206</v>
      </c>
      <c r="K539" s="804" t="str">
        <f>VLOOKUP(J539,RKPANL!B:D,2,0)</f>
        <v>Pemasangan 1 m2 dinding bata merah (5x11x22) cm tebal ½ batu
campuran 1SP :4PP</v>
      </c>
      <c r="L539" s="800">
        <f>VLOOKUP(J539,RKPANL!B:D,3,0)</f>
        <v>143836.25</v>
      </c>
      <c r="M539" s="801">
        <f t="shared" ref="M539:M543" si="18">L539*H539</f>
        <v>5034268.75</v>
      </c>
    </row>
    <row r="540" spans="2:13" ht="15.6" outlineLevel="2">
      <c r="B540" s="793"/>
      <c r="C540" s="848"/>
      <c r="D540" s="794">
        <v>2</v>
      </c>
      <c r="E540" s="812" t="s">
        <v>365</v>
      </c>
      <c r="F540" s="795"/>
      <c r="G540" s="817"/>
      <c r="H540" s="797">
        <f>H539*1</f>
        <v>35</v>
      </c>
      <c r="I540" s="798" t="s">
        <v>133</v>
      </c>
      <c r="J540" s="829" t="s">
        <v>112</v>
      </c>
      <c r="K540" s="804" t="str">
        <f>VLOOKUP(J540,RKPANL!B:D,2,0)</f>
        <v>Pemasangan 1 m2 plesteran 1SP : 4PP tebal 15 mm</v>
      </c>
      <c r="L540" s="800">
        <f>VLOOKUP(J540,RKPANL!B:D,3,0)</f>
        <v>92152.95</v>
      </c>
      <c r="M540" s="801">
        <f t="shared" si="18"/>
        <v>3225353.25</v>
      </c>
    </row>
    <row r="541" spans="2:13" ht="15.6" outlineLevel="2">
      <c r="B541" s="793"/>
      <c r="C541" s="848"/>
      <c r="D541" s="794">
        <v>3</v>
      </c>
      <c r="E541" s="812" t="s">
        <v>452</v>
      </c>
      <c r="F541" s="795"/>
      <c r="G541" s="817"/>
      <c r="H541" s="797">
        <f>H540</f>
        <v>35</v>
      </c>
      <c r="I541" s="798" t="s">
        <v>133</v>
      </c>
      <c r="J541" s="829" t="s">
        <v>113</v>
      </c>
      <c r="K541" s="804" t="str">
        <f>VLOOKUP(J541,RKPANL!B:D,2,0)</f>
        <v>Pemasangan 1 m2 acian.</v>
      </c>
      <c r="L541" s="800">
        <f>VLOOKUP(J541,RKPANL!B:D,3,0)</f>
        <v>56896.25</v>
      </c>
      <c r="M541" s="801">
        <f t="shared" si="18"/>
        <v>1991368.75</v>
      </c>
    </row>
    <row r="542" spans="2:13" ht="15.6" outlineLevel="2">
      <c r="B542" s="793"/>
      <c r="C542" s="848"/>
      <c r="D542" s="794">
        <v>4</v>
      </c>
      <c r="E542" s="795" t="s">
        <v>909</v>
      </c>
      <c r="F542" s="795"/>
      <c r="G542" s="817"/>
      <c r="H542" s="797">
        <f>2*4</f>
        <v>8</v>
      </c>
      <c r="I542" s="798" t="s">
        <v>133</v>
      </c>
      <c r="J542" s="829" t="s">
        <v>618</v>
      </c>
      <c r="K542" s="804" t="str">
        <f>VLOOKUP(J542,RKPANL!B:D,2,0)</f>
        <v>Pemasangan 1m2 lantai granite ukuran 60cm x 60cm</v>
      </c>
      <c r="L542" s="800">
        <f>VLOOKUP(J542,RKPANL!B:D,3,0)</f>
        <v>513423.25</v>
      </c>
      <c r="M542" s="801">
        <f t="shared" si="18"/>
        <v>4107386</v>
      </c>
    </row>
    <row r="543" spans="2:13" ht="15.6" outlineLevel="2">
      <c r="B543" s="793"/>
      <c r="C543" s="848"/>
      <c r="D543" s="794">
        <v>5</v>
      </c>
      <c r="E543" s="795" t="s">
        <v>910</v>
      </c>
      <c r="F543" s="795"/>
      <c r="G543" s="817"/>
      <c r="H543" s="797">
        <f>(2*4+2*3)*2</f>
        <v>28</v>
      </c>
      <c r="I543" s="798" t="s">
        <v>133</v>
      </c>
      <c r="J543" s="829" t="s">
        <v>860</v>
      </c>
      <c r="K543" s="804" t="str">
        <f>VLOOKUP(J543,RKPANL!B:D,2,0)</f>
        <v>Pemasangan 1m2 Dinding granite ukuran 60cm x 60cm</v>
      </c>
      <c r="L543" s="800">
        <f>VLOOKUP(J543,RKPANL!B:D,3,0)</f>
        <v>563965.75</v>
      </c>
      <c r="M543" s="801">
        <f t="shared" si="18"/>
        <v>15791041</v>
      </c>
    </row>
    <row r="544" spans="2:13" ht="15.6" outlineLevel="2">
      <c r="B544" s="851"/>
      <c r="C544" s="848"/>
      <c r="D544" s="794"/>
      <c r="E544" s="794"/>
      <c r="F544" s="795"/>
      <c r="G544" s="817"/>
      <c r="H544" s="797"/>
      <c r="I544" s="798"/>
      <c r="J544" s="798"/>
      <c r="K544" s="804"/>
      <c r="L544" s="800"/>
      <c r="M544" s="801"/>
    </row>
    <row r="545" spans="2:13" ht="15.6" outlineLevel="2">
      <c r="B545" s="793"/>
      <c r="C545" s="848" t="s">
        <v>17</v>
      </c>
      <c r="D545" s="696" t="s">
        <v>486</v>
      </c>
      <c r="E545" s="849"/>
      <c r="F545" s="795"/>
      <c r="G545" s="817"/>
      <c r="H545" s="797"/>
      <c r="I545" s="798"/>
      <c r="J545" s="798"/>
      <c r="K545" s="804"/>
      <c r="L545" s="800"/>
      <c r="M545" s="801"/>
    </row>
    <row r="546" spans="2:13" ht="15.6" outlineLevel="2">
      <c r="B546" s="793"/>
      <c r="C546" s="848"/>
      <c r="D546" s="794">
        <v>1</v>
      </c>
      <c r="E546" s="812" t="s">
        <v>696</v>
      </c>
      <c r="F546" s="795"/>
      <c r="G546" s="817"/>
      <c r="H546" s="797">
        <v>1</v>
      </c>
      <c r="I546" s="798" t="s">
        <v>62</v>
      </c>
      <c r="J546" s="798" t="s">
        <v>73</v>
      </c>
      <c r="K546" s="804" t="e">
        <f>VLOOKUP(J546,RKPANL!B:D,2,0)</f>
        <v>#N/A</v>
      </c>
      <c r="L546" s="800">
        <v>2500000</v>
      </c>
      <c r="M546" s="801">
        <f>L546*H546</f>
        <v>2500000</v>
      </c>
    </row>
    <row r="547" spans="2:13" ht="15.6" outlineLevel="2">
      <c r="B547" s="793"/>
      <c r="C547" s="848"/>
      <c r="D547" s="794">
        <v>2</v>
      </c>
      <c r="E547" s="812" t="s">
        <v>697</v>
      </c>
      <c r="F547" s="795"/>
      <c r="G547" s="817"/>
      <c r="H547" s="797">
        <v>2</v>
      </c>
      <c r="I547" s="798" t="s">
        <v>62</v>
      </c>
      <c r="J547" s="798" t="s">
        <v>73</v>
      </c>
      <c r="K547" s="804" t="e">
        <f>VLOOKUP(J547,RKPANL!B:D,2,0)</f>
        <v>#N/A</v>
      </c>
      <c r="L547" s="800">
        <v>1200000</v>
      </c>
      <c r="M547" s="801">
        <f>L547*H547</f>
        <v>2400000</v>
      </c>
    </row>
    <row r="548" spans="2:13" ht="15.6" outlineLevel="2">
      <c r="B548" s="793"/>
      <c r="C548" s="848"/>
      <c r="D548" s="794"/>
      <c r="E548" s="812"/>
      <c r="F548" s="795"/>
      <c r="G548" s="817"/>
      <c r="H548" s="797"/>
      <c r="I548" s="798"/>
      <c r="J548" s="798"/>
      <c r="K548" s="804"/>
      <c r="L548" s="800"/>
      <c r="M548" s="801"/>
    </row>
    <row r="549" spans="2:13" ht="15.6" outlineLevel="2">
      <c r="B549" s="793"/>
      <c r="C549" s="848" t="s">
        <v>18</v>
      </c>
      <c r="D549" s="696" t="s">
        <v>424</v>
      </c>
      <c r="E549" s="849"/>
      <c r="F549" s="795"/>
      <c r="G549" s="817"/>
      <c r="H549" s="797"/>
      <c r="I549" s="798"/>
      <c r="J549" s="798"/>
      <c r="K549" s="804"/>
      <c r="L549" s="800"/>
      <c r="M549" s="801"/>
    </row>
    <row r="550" spans="2:13" ht="15.6" outlineLevel="2">
      <c r="B550" s="793"/>
      <c r="C550" s="848"/>
      <c r="D550" s="794">
        <v>1</v>
      </c>
      <c r="E550" s="812" t="s">
        <v>425</v>
      </c>
      <c r="F550" s="795"/>
      <c r="G550" s="817"/>
      <c r="H550" s="797">
        <f>2*2*2</f>
        <v>8</v>
      </c>
      <c r="I550" s="798" t="s">
        <v>133</v>
      </c>
      <c r="J550" s="829" t="s">
        <v>661</v>
      </c>
      <c r="K550" s="804" t="e">
        <f>VLOOKUP(J550,RKPANL!B:D,2,0)</f>
        <v>#N/A</v>
      </c>
      <c r="L550" s="800">
        <v>150000</v>
      </c>
      <c r="M550" s="801">
        <f>L550*H550</f>
        <v>1200000</v>
      </c>
    </row>
    <row r="551" spans="2:13" ht="15.6" outlineLevel="2">
      <c r="B551" s="793"/>
      <c r="C551" s="848"/>
      <c r="D551" s="794">
        <v>2</v>
      </c>
      <c r="E551" s="812" t="s">
        <v>649</v>
      </c>
      <c r="F551" s="795"/>
      <c r="G551" s="817"/>
      <c r="H551" s="797">
        <f>2*2*2</f>
        <v>8</v>
      </c>
      <c r="I551" s="798" t="s">
        <v>133</v>
      </c>
      <c r="J551" s="798" t="s">
        <v>278</v>
      </c>
      <c r="K551" s="804" t="str">
        <f>VLOOKUP(J551,RKPANL!B:D,2,0)</f>
        <v xml:space="preserve">Pemasangan 1 m2 langit-langit Pvc t 8mm </v>
      </c>
      <c r="L551" s="800">
        <f>VLOOKUP(J551,RKPANL!B:D,3,0)</f>
        <v>153475</v>
      </c>
      <c r="M551" s="801">
        <f>L551*H551</f>
        <v>1227800</v>
      </c>
    </row>
    <row r="552" spans="2:13" ht="15.6" outlineLevel="2">
      <c r="B552" s="793"/>
      <c r="C552" s="848"/>
      <c r="D552" s="794">
        <v>3</v>
      </c>
      <c r="E552" s="812" t="s">
        <v>463</v>
      </c>
      <c r="F552" s="795"/>
      <c r="G552" s="817"/>
      <c r="H552" s="797">
        <f>2*4*2</f>
        <v>16</v>
      </c>
      <c r="I552" s="798" t="s">
        <v>21</v>
      </c>
      <c r="J552" s="798" t="s">
        <v>280</v>
      </c>
      <c r="K552" s="804" t="str">
        <f>VLOOKUP(J552,RKPANL!B:D,2,0)</f>
        <v xml:space="preserve">Pemasangan 1 m' List plafond PVC </v>
      </c>
      <c r="L552" s="800">
        <f>VLOOKUP(J552,RKPANL!B:D,3,0)</f>
        <v>44020.75</v>
      </c>
      <c r="M552" s="801">
        <f>L552*H552</f>
        <v>704332</v>
      </c>
    </row>
    <row r="553" spans="2:13" ht="15.6" outlineLevel="2">
      <c r="B553" s="851"/>
      <c r="C553" s="848"/>
      <c r="D553" s="794"/>
      <c r="E553" s="794"/>
      <c r="F553" s="795"/>
      <c r="G553" s="817"/>
      <c r="H553" s="797"/>
      <c r="I553" s="798"/>
      <c r="J553" s="798"/>
      <c r="K553" s="804"/>
      <c r="L553" s="800"/>
      <c r="M553" s="801"/>
    </row>
    <row r="554" spans="2:13" ht="15.6" outlineLevel="2">
      <c r="B554" s="793"/>
      <c r="C554" s="848" t="s">
        <v>19</v>
      </c>
      <c r="D554" s="696" t="s">
        <v>467</v>
      </c>
      <c r="E554" s="849"/>
      <c r="F554" s="795"/>
      <c r="G554" s="817"/>
      <c r="H554" s="797"/>
      <c r="I554" s="798"/>
      <c r="J554" s="798"/>
      <c r="K554" s="804"/>
      <c r="L554" s="800"/>
      <c r="M554" s="801"/>
    </row>
    <row r="555" spans="2:13" ht="15.6" outlineLevel="2">
      <c r="B555" s="793"/>
      <c r="C555" s="848"/>
      <c r="D555" s="794">
        <v>1</v>
      </c>
      <c r="E555" s="812" t="s">
        <v>475</v>
      </c>
      <c r="F555" s="795"/>
      <c r="G555" s="817"/>
      <c r="H555" s="797">
        <v>1</v>
      </c>
      <c r="I555" s="798" t="s">
        <v>62</v>
      </c>
      <c r="J555" s="798" t="s">
        <v>733</v>
      </c>
      <c r="K555" s="804" t="str">
        <f>VLOOKUP(J555,RKPANL!B:D,2,0)</f>
        <v>Pemasangan 1 buah closet duduk/monoblock</v>
      </c>
      <c r="L555" s="800">
        <f>VLOOKUP(J555,RKPANL!B:D,3,0)</f>
        <v>5594750</v>
      </c>
      <c r="M555" s="801">
        <f t="shared" ref="M555:M561" si="19">L555*H555</f>
        <v>5594750</v>
      </c>
    </row>
    <row r="556" spans="2:13" ht="15.6" outlineLevel="2">
      <c r="B556" s="793"/>
      <c r="C556" s="848"/>
      <c r="D556" s="794">
        <v>2</v>
      </c>
      <c r="E556" s="812" t="s">
        <v>474</v>
      </c>
      <c r="F556" s="795"/>
      <c r="G556" s="817"/>
      <c r="H556" s="797">
        <v>1</v>
      </c>
      <c r="I556" s="798" t="s">
        <v>62</v>
      </c>
      <c r="J556" s="798" t="s">
        <v>739</v>
      </c>
      <c r="K556" s="804" t="str">
        <f>VLOOKUP(J556,RKPANL!B:D,2,0)</f>
        <v>Pemasangan 1 buah wastafel</v>
      </c>
      <c r="L556" s="800">
        <f>VLOOKUP(J556,RKPANL!B:D,3,0)</f>
        <v>2767705</v>
      </c>
      <c r="M556" s="801">
        <f t="shared" si="19"/>
        <v>2767705</v>
      </c>
    </row>
    <row r="557" spans="2:13" ht="15.6" outlineLevel="2">
      <c r="B557" s="793"/>
      <c r="C557" s="848"/>
      <c r="D557" s="794">
        <v>3</v>
      </c>
      <c r="E557" s="812" t="s">
        <v>470</v>
      </c>
      <c r="F557" s="795"/>
      <c r="G557" s="817"/>
      <c r="H557" s="797">
        <v>1</v>
      </c>
      <c r="I557" s="798" t="s">
        <v>62</v>
      </c>
      <c r="J557" s="829" t="s">
        <v>924</v>
      </c>
      <c r="K557" s="804" t="str">
        <f>VLOOKUP(J557,RKPANL!B:D,2,0)</f>
        <v>Pemasangan 1 buah Urinoir</v>
      </c>
      <c r="L557" s="800">
        <f>VLOOKUP(J557,RKPANL!B:D,3,0)</f>
        <v>4285705</v>
      </c>
      <c r="M557" s="801">
        <f t="shared" si="19"/>
        <v>4285705</v>
      </c>
    </row>
    <row r="558" spans="2:13" ht="15.6" outlineLevel="2">
      <c r="B558" s="793"/>
      <c r="C558" s="848"/>
      <c r="D558" s="794">
        <v>4</v>
      </c>
      <c r="E558" s="812" t="s">
        <v>418</v>
      </c>
      <c r="F558" s="795"/>
      <c r="G558" s="817"/>
      <c r="H558" s="797">
        <v>1</v>
      </c>
      <c r="I558" s="798" t="s">
        <v>62</v>
      </c>
      <c r="J558" s="798" t="s">
        <v>750</v>
      </c>
      <c r="K558" s="804" t="str">
        <f>VLOOKUP(J558,RKPANL!B:D,2,0)</f>
        <v>Pemasangan 1 buah floor drain</v>
      </c>
      <c r="L558" s="800">
        <f>VLOOKUP(J558,RKPANL!B:D,3,0)</f>
        <v>161028.75</v>
      </c>
      <c r="M558" s="801">
        <f t="shared" ref="M558" si="20">L558*H558</f>
        <v>161028.75</v>
      </c>
    </row>
    <row r="559" spans="2:13" ht="15.6" outlineLevel="2">
      <c r="B559" s="793"/>
      <c r="C559" s="848"/>
      <c r="D559" s="794">
        <v>5</v>
      </c>
      <c r="E559" s="812" t="s">
        <v>471</v>
      </c>
      <c r="F559" s="795"/>
      <c r="G559" s="817"/>
      <c r="H559" s="797">
        <v>1</v>
      </c>
      <c r="I559" s="798" t="s">
        <v>23</v>
      </c>
      <c r="J559" s="798" t="s">
        <v>780</v>
      </c>
      <c r="K559" s="804" t="str">
        <f>VLOOKUP(J559,RKPANL!B:D,2,0)</f>
        <v>Pemasangan 1 buah Tempat Sabun</v>
      </c>
      <c r="L559" s="800">
        <f>VLOOKUP(J559,RKPANL!B:D,3,0)</f>
        <v>256593.75</v>
      </c>
      <c r="M559" s="801">
        <f t="shared" si="19"/>
        <v>256593.75</v>
      </c>
    </row>
    <row r="560" spans="2:13" ht="15.6" outlineLevel="2">
      <c r="B560" s="793"/>
      <c r="C560" s="848"/>
      <c r="D560" s="794">
        <v>6</v>
      </c>
      <c r="E560" s="812" t="s">
        <v>472</v>
      </c>
      <c r="F560" s="795"/>
      <c r="G560" s="817"/>
      <c r="H560" s="797">
        <v>1</v>
      </c>
      <c r="I560" s="798" t="s">
        <v>22</v>
      </c>
      <c r="J560" s="798" t="s">
        <v>771</v>
      </c>
      <c r="K560" s="804" t="str">
        <f>VLOOKUP(J560,RKPANL!B:D,2,0)</f>
        <v>Pemasangan 1 buah Shower Kran Bidet</v>
      </c>
      <c r="L560" s="800">
        <f>VLOOKUP(J560,RKPANL!B:D,3,0)</f>
        <v>268093.75</v>
      </c>
      <c r="M560" s="801">
        <f t="shared" si="19"/>
        <v>268093.75</v>
      </c>
    </row>
    <row r="561" spans="2:13" ht="15.6" outlineLevel="2">
      <c r="B561" s="793"/>
      <c r="C561" s="848"/>
      <c r="D561" s="794">
        <v>7</v>
      </c>
      <c r="E561" s="856" t="s">
        <v>416</v>
      </c>
      <c r="F561" s="795"/>
      <c r="G561" s="817"/>
      <c r="H561" s="797">
        <v>1</v>
      </c>
      <c r="I561" s="798" t="s">
        <v>22</v>
      </c>
      <c r="J561" s="798" t="s">
        <v>753</v>
      </c>
      <c r="K561" s="804" t="str">
        <f>VLOOKUP(J561,RKPANL!B:D,2,0)</f>
        <v>Pemasangan 1 buah kran diameter ½” atau ¾ ”</v>
      </c>
      <c r="L561" s="800">
        <f>VLOOKUP(J561,RKPANL!B:D,3,0)</f>
        <v>141881.25</v>
      </c>
      <c r="M561" s="801">
        <f t="shared" si="19"/>
        <v>141881.25</v>
      </c>
    </row>
    <row r="562" spans="2:13" ht="15.6" outlineLevel="2">
      <c r="B562" s="851"/>
      <c r="C562" s="848"/>
      <c r="D562" s="794"/>
      <c r="E562" s="794"/>
      <c r="F562" s="795"/>
      <c r="G562" s="817"/>
      <c r="H562" s="797"/>
      <c r="I562" s="798"/>
      <c r="J562" s="798"/>
      <c r="K562" s="804"/>
      <c r="L562" s="800"/>
      <c r="M562" s="801"/>
    </row>
    <row r="563" spans="2:13" ht="15.6" outlineLevel="2">
      <c r="B563" s="793"/>
      <c r="C563" s="848" t="s">
        <v>404</v>
      </c>
      <c r="D563" s="696" t="s">
        <v>289</v>
      </c>
      <c r="E563" s="849"/>
      <c r="F563" s="795"/>
      <c r="G563" s="817"/>
      <c r="H563" s="797"/>
      <c r="I563" s="798"/>
      <c r="J563" s="798"/>
      <c r="K563" s="804"/>
      <c r="L563" s="800"/>
      <c r="M563" s="801"/>
    </row>
    <row r="564" spans="2:13" outlineLevel="2">
      <c r="B564" s="793"/>
      <c r="C564" s="802"/>
      <c r="D564" s="850">
        <v>1</v>
      </c>
      <c r="E564" s="845" t="s">
        <v>900</v>
      </c>
      <c r="F564" s="795"/>
      <c r="G564" s="796"/>
      <c r="H564" s="797">
        <f>H565</f>
        <v>2</v>
      </c>
      <c r="I564" s="798" t="s">
        <v>879</v>
      </c>
      <c r="J564" s="798" t="s">
        <v>290</v>
      </c>
      <c r="K564" s="804" t="str">
        <f>VLOOKUP(J564,RKPANL!B:D,2,0)</f>
        <v>Pasang 1 Titik Instalasi Penerangan dan Stop Kontak dengan Kabel NYA 2x2,5 mm</v>
      </c>
      <c r="L564" s="800">
        <f>VLOOKUP(J564,RKPANL!B:D,3,0)</f>
        <v>232084.375</v>
      </c>
      <c r="M564" s="801">
        <f>L564*H564</f>
        <v>464168.75</v>
      </c>
    </row>
    <row r="565" spans="2:13" ht="15.6" outlineLevel="2">
      <c r="B565" s="793"/>
      <c r="C565" s="848"/>
      <c r="D565" s="794">
        <v>2</v>
      </c>
      <c r="E565" s="845" t="s">
        <v>842</v>
      </c>
      <c r="F565" s="795"/>
      <c r="G565" s="817"/>
      <c r="H565" s="797">
        <v>2</v>
      </c>
      <c r="I565" s="798" t="s">
        <v>62</v>
      </c>
      <c r="J565" s="798" t="s">
        <v>613</v>
      </c>
      <c r="K565" s="804" t="str">
        <f>VLOOKUP(J565,RKPANL!B:D,2,0)</f>
        <v>Pasang 1 buah Lampu LED 7 watt + Fitting Down Light</v>
      </c>
      <c r="L565" s="800">
        <f>VLOOKUP(J565,RKPANL!B:D,3,0)</f>
        <v>121813.75</v>
      </c>
      <c r="M565" s="801">
        <f>L565*H565</f>
        <v>243627.5</v>
      </c>
    </row>
    <row r="566" spans="2:13" ht="15.6" outlineLevel="2">
      <c r="B566" s="793"/>
      <c r="C566" s="848"/>
      <c r="D566" s="794">
        <v>3</v>
      </c>
      <c r="E566" s="826" t="s">
        <v>732</v>
      </c>
      <c r="F566" s="795"/>
      <c r="G566" s="817"/>
      <c r="H566" s="797">
        <v>1</v>
      </c>
      <c r="I566" s="798" t="s">
        <v>22</v>
      </c>
      <c r="J566" s="798" t="s">
        <v>302</v>
      </c>
      <c r="K566" s="804" t="str">
        <f>VLOOKUP(J566,RKPANL!B:D,2,0)</f>
        <v>Pasang 1 Set Saklar Ganda</v>
      </c>
      <c r="L566" s="800">
        <f>VLOOKUP(J566,RKPANL!B:D,3,0)</f>
        <v>105713.75</v>
      </c>
      <c r="M566" s="801">
        <f>L566*H566</f>
        <v>105713.75</v>
      </c>
    </row>
    <row r="567" spans="2:13" ht="15.6" outlineLevel="2">
      <c r="B567" s="851"/>
      <c r="C567" s="848"/>
      <c r="D567" s="794"/>
      <c r="E567" s="794"/>
      <c r="F567" s="795"/>
      <c r="G567" s="817"/>
      <c r="H567" s="797"/>
      <c r="I567" s="798"/>
      <c r="J567" s="798"/>
      <c r="K567" s="804"/>
      <c r="L567" s="800"/>
      <c r="M567" s="801"/>
    </row>
    <row r="568" spans="2:13" ht="15.6" outlineLevel="2">
      <c r="B568" s="793"/>
      <c r="C568" s="848" t="s">
        <v>560</v>
      </c>
      <c r="D568" s="696" t="s">
        <v>634</v>
      </c>
      <c r="E568" s="849"/>
      <c r="F568" s="795"/>
      <c r="G568" s="817"/>
      <c r="H568" s="797"/>
      <c r="I568" s="798"/>
      <c r="J568" s="798"/>
      <c r="K568" s="804"/>
      <c r="L568" s="800"/>
      <c r="M568" s="801"/>
    </row>
    <row r="569" spans="2:13" ht="15.6" outlineLevel="2">
      <c r="B569" s="793"/>
      <c r="C569" s="848"/>
      <c r="D569" s="794">
        <v>1</v>
      </c>
      <c r="E569" s="812" t="s">
        <v>476</v>
      </c>
      <c r="F569" s="795"/>
      <c r="G569" s="817"/>
      <c r="H569" s="797">
        <v>12</v>
      </c>
      <c r="I569" s="798" t="s">
        <v>21</v>
      </c>
      <c r="J569" s="798" t="s">
        <v>284</v>
      </c>
      <c r="K569" s="804" t="str">
        <f>VLOOKUP(J569,RKPANL!B:D,2,0)</f>
        <v>Pemasangan 1 m’ pipa PVC tipe AW diameter ½ ”</v>
      </c>
      <c r="L569" s="800">
        <f>VLOOKUP(J569,RKPANL!B:D,3,0)</f>
        <v>41465.166666666672</v>
      </c>
      <c r="M569" s="801">
        <f>L569*H569</f>
        <v>497582.00000000006</v>
      </c>
    </row>
    <row r="570" spans="2:13" ht="15.6" outlineLevel="2">
      <c r="B570" s="793"/>
      <c r="C570" s="848"/>
      <c r="D570" s="794">
        <v>2</v>
      </c>
      <c r="E570" s="812" t="s">
        <v>477</v>
      </c>
      <c r="F570" s="795"/>
      <c r="G570" s="817"/>
      <c r="H570" s="797">
        <v>12</v>
      </c>
      <c r="I570" s="798" t="s">
        <v>21</v>
      </c>
      <c r="J570" s="798" t="s">
        <v>691</v>
      </c>
      <c r="K570" s="804" t="str">
        <f>VLOOKUP(J570,RKPANL!B:D,2,0)</f>
        <v>Pemasangan 1 m’ pipa PVC tipe AW diameter 1”</v>
      </c>
      <c r="L570" s="800">
        <f>VLOOKUP(J570,RKPANL!B:D,3,0)</f>
        <v>44372.75</v>
      </c>
      <c r="M570" s="801">
        <f>L570*H570</f>
        <v>532473</v>
      </c>
    </row>
    <row r="571" spans="2:13" ht="15.6" outlineLevel="2">
      <c r="B571" s="793"/>
      <c r="C571" s="848"/>
      <c r="D571" s="794">
        <v>3</v>
      </c>
      <c r="E571" s="812" t="s">
        <v>478</v>
      </c>
      <c r="F571" s="795"/>
      <c r="G571" s="817"/>
      <c r="H571" s="797">
        <v>12</v>
      </c>
      <c r="I571" s="798" t="s">
        <v>21</v>
      </c>
      <c r="J571" s="798" t="s">
        <v>693</v>
      </c>
      <c r="K571" s="804" t="str">
        <f>VLOOKUP(J571,RKPANL!B:D,2,0)</f>
        <v>Pemasangan 1 m’ pipa PVC tipe AW diameter 2”</v>
      </c>
      <c r="L571" s="800">
        <f>VLOOKUP(J571,RKPANL!B:D,3,0)</f>
        <v>71110.25</v>
      </c>
      <c r="M571" s="801">
        <f>L571*H571</f>
        <v>853323</v>
      </c>
    </row>
    <row r="572" spans="2:13" ht="15.6" outlineLevel="2">
      <c r="B572" s="793"/>
      <c r="C572" s="848"/>
      <c r="D572" s="794">
        <v>4</v>
      </c>
      <c r="E572" s="812" t="s">
        <v>698</v>
      </c>
      <c r="F572" s="795"/>
      <c r="G572" s="817"/>
      <c r="H572" s="797">
        <v>12</v>
      </c>
      <c r="I572" s="798" t="s">
        <v>62</v>
      </c>
      <c r="J572" s="798" t="s">
        <v>766</v>
      </c>
      <c r="K572" s="804" t="str">
        <f>VLOOKUP(J572,RKPANL!B:D,2,0)</f>
        <v>Pemasangan 1 m’ pipa PVC tipe AW diameter 3”</v>
      </c>
      <c r="L572" s="800">
        <f>VLOOKUP(J572,RKPANL!B:D,3,0)</f>
        <v>100818.58333333333</v>
      </c>
      <c r="M572" s="801">
        <f>L572*H572</f>
        <v>1209823</v>
      </c>
    </row>
    <row r="573" spans="2:13" ht="15.6" outlineLevel="2">
      <c r="B573" s="793"/>
      <c r="C573" s="848"/>
      <c r="D573" s="794">
        <v>5</v>
      </c>
      <c r="E573" s="812" t="s">
        <v>479</v>
      </c>
      <c r="F573" s="795"/>
      <c r="G573" s="817"/>
      <c r="H573" s="797">
        <v>1</v>
      </c>
      <c r="I573" s="798" t="s">
        <v>62</v>
      </c>
      <c r="J573" s="798" t="s">
        <v>73</v>
      </c>
      <c r="K573" s="804" t="e">
        <f>VLOOKUP(J573,RKPANL!B:D,2,0)</f>
        <v>#N/A</v>
      </c>
      <c r="L573" s="800">
        <v>500000</v>
      </c>
      <c r="M573" s="801">
        <f>L573*H573</f>
        <v>500000</v>
      </c>
    </row>
    <row r="574" spans="2:13" ht="15.6" outlineLevel="2">
      <c r="B574" s="851"/>
      <c r="C574" s="848"/>
      <c r="D574" s="794"/>
      <c r="E574" s="794"/>
      <c r="F574" s="795"/>
      <c r="G574" s="817"/>
      <c r="H574" s="797"/>
      <c r="I574" s="798"/>
      <c r="J574" s="798"/>
      <c r="K574" s="804"/>
      <c r="L574" s="800"/>
      <c r="M574" s="801"/>
    </row>
    <row r="575" spans="2:13" ht="15.6" outlineLevel="2">
      <c r="B575" s="793"/>
      <c r="C575" s="848" t="s">
        <v>568</v>
      </c>
      <c r="D575" s="696" t="s">
        <v>422</v>
      </c>
      <c r="E575" s="849"/>
      <c r="F575" s="795"/>
      <c r="G575" s="817"/>
      <c r="H575" s="797"/>
      <c r="I575" s="798"/>
      <c r="J575" s="798"/>
      <c r="K575" s="804"/>
      <c r="L575" s="800"/>
      <c r="M575" s="801"/>
    </row>
    <row r="576" spans="2:13" ht="15.6" outlineLevel="2">
      <c r="B576" s="793"/>
      <c r="C576" s="848"/>
      <c r="D576" s="850">
        <v>1</v>
      </c>
      <c r="E576" s="845" t="s">
        <v>919</v>
      </c>
      <c r="F576" s="795"/>
      <c r="G576" s="817"/>
      <c r="H576" s="797">
        <f>(8*2)+(8*4)</f>
        <v>48</v>
      </c>
      <c r="I576" s="798" t="str">
        <f>M!S112</f>
        <v>M2</v>
      </c>
      <c r="J576" s="798" t="s">
        <v>139</v>
      </c>
      <c r="K576" s="804" t="str">
        <f>VLOOKUP(J576,RKPANL!B:D,2,0)</f>
        <v>Pengecatan 1 m2 tembok baru (1 lapis plamuur, 1 lapis cat dasar, 2
lapis cat penutup)</v>
      </c>
      <c r="L576" s="800">
        <f>VLOOKUP(J576,RKPANL!B:D,3,0)</f>
        <v>55114.9</v>
      </c>
      <c r="M576" s="801">
        <f>L576*H576</f>
        <v>2645515.2000000002</v>
      </c>
    </row>
    <row r="577" spans="2:14" outlineLevel="2">
      <c r="B577" s="793"/>
      <c r="C577" s="802"/>
      <c r="D577" s="794"/>
      <c r="E577" s="795"/>
      <c r="F577" s="795"/>
      <c r="G577" s="796"/>
      <c r="H577" s="797"/>
      <c r="I577" s="798"/>
      <c r="J577" s="798"/>
      <c r="K577" s="806"/>
      <c r="L577" s="800"/>
      <c r="M577" s="801"/>
    </row>
    <row r="578" spans="2:14" ht="15.6">
      <c r="B578" s="807"/>
      <c r="C578" s="808"/>
      <c r="D578" s="808"/>
      <c r="E578" s="808"/>
      <c r="F578" s="808"/>
      <c r="G578" s="808"/>
      <c r="H578" s="809"/>
      <c r="I578" s="808"/>
      <c r="J578" s="808"/>
      <c r="K578" s="1224" t="s">
        <v>507</v>
      </c>
      <c r="L578" s="1225"/>
      <c r="M578" s="810">
        <f>SUM(M530:M577)</f>
        <v>65035741.949368</v>
      </c>
      <c r="N578" s="879">
        <f>M578</f>
        <v>65035741.949368</v>
      </c>
    </row>
    <row r="579" spans="2:14" ht="15.6">
      <c r="B579" s="851" t="s">
        <v>502</v>
      </c>
      <c r="C579" s="874" t="s">
        <v>585</v>
      </c>
      <c r="E579" s="875"/>
      <c r="F579" s="795"/>
      <c r="G579" s="796"/>
      <c r="H579" s="797"/>
      <c r="I579" s="798"/>
      <c r="J579" s="798"/>
      <c r="K579" s="876"/>
      <c r="L579" s="877"/>
      <c r="M579" s="878"/>
    </row>
    <row r="580" spans="2:14" outlineLevel="2">
      <c r="B580" s="793"/>
      <c r="C580" s="802"/>
      <c r="D580" s="794">
        <v>1</v>
      </c>
      <c r="E580" s="795" t="s">
        <v>941</v>
      </c>
      <c r="F580" s="795"/>
      <c r="G580" s="796"/>
      <c r="H580" s="797">
        <v>1</v>
      </c>
      <c r="I580" s="798" t="s">
        <v>20</v>
      </c>
      <c r="J580" s="798" t="s">
        <v>73</v>
      </c>
      <c r="K580" s="804" t="e">
        <f>VLOOKUP(J580,RKPANL!B:D,2,0)</f>
        <v>#N/A</v>
      </c>
      <c r="L580" s="800">
        <v>2000000</v>
      </c>
      <c r="M580" s="801">
        <f>L580*H580</f>
        <v>2000000</v>
      </c>
    </row>
    <row r="581" spans="2:14" outlineLevel="2">
      <c r="B581" s="793"/>
      <c r="C581" s="802"/>
      <c r="D581" s="794"/>
      <c r="E581" s="795"/>
      <c r="F581" s="795"/>
      <c r="G581" s="796"/>
      <c r="H581" s="797"/>
      <c r="I581" s="798"/>
      <c r="J581" s="798"/>
      <c r="K581" s="806"/>
      <c r="L581" s="800"/>
      <c r="M581" s="801"/>
    </row>
    <row r="582" spans="2:14" ht="15.6">
      <c r="B582" s="807"/>
      <c r="C582" s="808"/>
      <c r="D582" s="808"/>
      <c r="E582" s="808"/>
      <c r="F582" s="808"/>
      <c r="G582" s="808"/>
      <c r="H582" s="809"/>
      <c r="I582" s="808"/>
      <c r="J582" s="808"/>
      <c r="K582" s="1224" t="s">
        <v>508</v>
      </c>
      <c r="L582" s="1225"/>
      <c r="M582" s="810">
        <f>SUM(M580:M581)</f>
        <v>2000000</v>
      </c>
      <c r="N582" s="879">
        <f>M582</f>
        <v>2000000</v>
      </c>
    </row>
    <row r="583" spans="2:14" ht="15.6">
      <c r="B583" s="851" t="s">
        <v>590</v>
      </c>
      <c r="C583" s="874" t="s">
        <v>586</v>
      </c>
      <c r="E583" s="875"/>
      <c r="F583" s="795"/>
      <c r="G583" s="796"/>
      <c r="H583" s="797"/>
      <c r="I583" s="798"/>
      <c r="J583" s="798"/>
      <c r="K583" s="876"/>
      <c r="L583" s="877"/>
      <c r="M583" s="878"/>
    </row>
    <row r="584" spans="2:14" outlineLevel="2">
      <c r="B584" s="793"/>
      <c r="C584" s="802"/>
      <c r="D584" s="794">
        <v>1</v>
      </c>
      <c r="E584" s="795" t="s">
        <v>914</v>
      </c>
      <c r="F584" s="795"/>
      <c r="G584" s="796"/>
      <c r="H584" s="797">
        <v>35</v>
      </c>
      <c r="I584" s="798" t="s">
        <v>133</v>
      </c>
      <c r="J584" s="798" t="s">
        <v>689</v>
      </c>
      <c r="K584" s="804" t="str">
        <f>VLOOKUP(J584,RKPANL!B:D,2,0)</f>
        <v>Pemasangan 1m2 lantai keramik ukuran 40cm x 40cm</v>
      </c>
      <c r="L584" s="800">
        <f>VLOOKUP(J584,RKPANL!B:D,3,0)</f>
        <v>309005</v>
      </c>
      <c r="M584" s="801">
        <f>L584*H584</f>
        <v>10815175</v>
      </c>
    </row>
    <row r="585" spans="2:14" outlineLevel="2">
      <c r="B585" s="793"/>
      <c r="C585" s="802"/>
      <c r="D585" s="794">
        <v>2</v>
      </c>
      <c r="E585" s="795" t="s">
        <v>915</v>
      </c>
      <c r="F585" s="795"/>
      <c r="G585" s="796"/>
      <c r="H585" s="797">
        <f>24+2</f>
        <v>26</v>
      </c>
      <c r="I585" s="798" t="s">
        <v>133</v>
      </c>
      <c r="J585" s="798" t="s">
        <v>677</v>
      </c>
      <c r="K585" s="804" t="e">
        <f>VLOOKUP(J585,RKPANL!B:D,2,0)</f>
        <v>#N/A</v>
      </c>
      <c r="L585" s="800">
        <v>500000</v>
      </c>
      <c r="M585" s="801">
        <f>L585*H585</f>
        <v>13000000</v>
      </c>
    </row>
    <row r="586" spans="2:14" outlineLevel="2">
      <c r="B586" s="793"/>
      <c r="C586" s="802"/>
      <c r="D586" s="794">
        <v>3</v>
      </c>
      <c r="E586" s="795" t="s">
        <v>686</v>
      </c>
      <c r="F586" s="795"/>
      <c r="G586" s="796"/>
      <c r="H586" s="797">
        <v>16</v>
      </c>
      <c r="I586" s="798" t="s">
        <v>62</v>
      </c>
      <c r="J586" s="798" t="s">
        <v>659</v>
      </c>
      <c r="K586" s="804" t="e">
        <f>VLOOKUP(J586,RKPANL!B:D,2,0)</f>
        <v>#N/A</v>
      </c>
      <c r="L586" s="800">
        <f>1.15*11800000</f>
        <v>13569999.999999998</v>
      </c>
      <c r="M586" s="801">
        <f>L586*H586</f>
        <v>217119999.99999997</v>
      </c>
    </row>
    <row r="587" spans="2:14" outlineLevel="2">
      <c r="B587" s="793"/>
      <c r="C587" s="802"/>
      <c r="D587" s="794">
        <v>4</v>
      </c>
      <c r="E587" s="795" t="s">
        <v>717</v>
      </c>
      <c r="F587" s="795"/>
      <c r="G587" s="796"/>
      <c r="H587" s="797">
        <v>69</v>
      </c>
      <c r="I587" s="798" t="s">
        <v>62</v>
      </c>
      <c r="J587" s="798" t="s">
        <v>856</v>
      </c>
      <c r="K587" s="804" t="str">
        <f>VLOOKUP(J587,RKPANL!B:D,2,0)</f>
        <v>Memasang 1 bh engsel jendela Alumunium</v>
      </c>
      <c r="L587" s="800">
        <f>VLOOKUP(J587,RKPANL!B:D,3,0)</f>
        <v>112714.375</v>
      </c>
      <c r="M587" s="801">
        <f>L587*H587</f>
        <v>7777291.875</v>
      </c>
    </row>
    <row r="588" spans="2:14" outlineLevel="2">
      <c r="B588" s="793"/>
      <c r="C588" s="802"/>
      <c r="D588" s="794"/>
      <c r="E588" s="795"/>
      <c r="F588" s="795"/>
      <c r="G588" s="796"/>
      <c r="H588" s="797"/>
      <c r="I588" s="798"/>
      <c r="J588" s="798"/>
      <c r="K588" s="806"/>
      <c r="L588" s="800"/>
      <c r="M588" s="801"/>
    </row>
    <row r="589" spans="2:14" ht="15.6">
      <c r="B589" s="807"/>
      <c r="C589" s="808"/>
      <c r="D589" s="808"/>
      <c r="E589" s="808"/>
      <c r="F589" s="808"/>
      <c r="G589" s="808"/>
      <c r="H589" s="809"/>
      <c r="I589" s="808"/>
      <c r="J589" s="808"/>
      <c r="K589" s="1224" t="s">
        <v>592</v>
      </c>
      <c r="L589" s="1225"/>
      <c r="M589" s="810">
        <f>SUM(M584:M588)</f>
        <v>248712466.87499997</v>
      </c>
      <c r="N589" s="879">
        <f>M589</f>
        <v>248712466.87499997</v>
      </c>
    </row>
    <row r="590" spans="2:14" ht="15.6">
      <c r="B590" s="851" t="s">
        <v>591</v>
      </c>
      <c r="C590" s="874" t="s">
        <v>581</v>
      </c>
      <c r="E590" s="875"/>
      <c r="F590" s="795"/>
      <c r="G590" s="796"/>
      <c r="H590" s="797"/>
      <c r="I590" s="798"/>
      <c r="J590" s="798"/>
      <c r="K590" s="876"/>
      <c r="L590" s="877"/>
      <c r="M590" s="878"/>
    </row>
    <row r="591" spans="2:14" ht="15.6" outlineLevel="1">
      <c r="B591" s="793"/>
      <c r="C591" s="848" t="s">
        <v>823</v>
      </c>
      <c r="D591" s="696" t="s">
        <v>582</v>
      </c>
      <c r="E591" s="849"/>
      <c r="F591" s="795"/>
      <c r="G591" s="796"/>
      <c r="H591" s="797"/>
      <c r="I591" s="798"/>
      <c r="J591" s="798"/>
      <c r="K591" s="799"/>
      <c r="L591" s="800"/>
      <c r="M591" s="801"/>
    </row>
    <row r="592" spans="2:14" outlineLevel="2">
      <c r="B592" s="793"/>
      <c r="C592" s="802"/>
      <c r="D592" s="794">
        <v>1</v>
      </c>
      <c r="E592" s="795" t="s">
        <v>916</v>
      </c>
      <c r="F592" s="795"/>
      <c r="G592" s="796"/>
      <c r="H592" s="797">
        <v>6</v>
      </c>
      <c r="I592" s="798" t="s">
        <v>133</v>
      </c>
      <c r="J592" s="798" t="s">
        <v>618</v>
      </c>
      <c r="K592" s="804" t="str">
        <f>VLOOKUP(J592,RKPANL!B:D,2,0)</f>
        <v>Pemasangan 1m2 lantai granite ukuran 60cm x 60cm</v>
      </c>
      <c r="L592" s="800">
        <f>VLOOKUP(J592,RKPANL!B:D,3,0)</f>
        <v>513423.25</v>
      </c>
      <c r="M592" s="801">
        <f t="shared" ref="M592:M597" si="21">L592*H592</f>
        <v>3080539.5</v>
      </c>
    </row>
    <row r="593" spans="2:15" outlineLevel="2">
      <c r="B593" s="793"/>
      <c r="C593" s="802"/>
      <c r="D593" s="794">
        <v>2</v>
      </c>
      <c r="E593" s="795" t="s">
        <v>911</v>
      </c>
      <c r="F593" s="795"/>
      <c r="G593" s="796"/>
      <c r="H593" s="797">
        <v>1</v>
      </c>
      <c r="I593" s="798" t="s">
        <v>62</v>
      </c>
      <c r="J593" s="798" t="s">
        <v>678</v>
      </c>
      <c r="K593" s="804" t="e">
        <f>VLOOKUP(J593,RKPANL!B:D,2,0)</f>
        <v>#N/A</v>
      </c>
      <c r="L593" s="800">
        <v>1500000</v>
      </c>
      <c r="M593" s="801">
        <f t="shared" si="21"/>
        <v>1500000</v>
      </c>
    </row>
    <row r="594" spans="2:15" outlineLevel="2">
      <c r="B594" s="793"/>
      <c r="C594" s="802"/>
      <c r="D594" s="794">
        <v>3</v>
      </c>
      <c r="E594" s="795" t="s">
        <v>912</v>
      </c>
      <c r="F594" s="795"/>
      <c r="G594" s="796"/>
      <c r="H594" s="797">
        <v>1</v>
      </c>
      <c r="I594" s="798" t="s">
        <v>62</v>
      </c>
      <c r="J594" s="798" t="s">
        <v>73</v>
      </c>
      <c r="K594" s="804" t="e">
        <f>VLOOKUP(J594,RKPANL!B:D,2,0)</f>
        <v>#N/A</v>
      </c>
      <c r="L594" s="800">
        <v>8700000</v>
      </c>
      <c r="M594" s="801">
        <f t="shared" si="21"/>
        <v>8700000</v>
      </c>
    </row>
    <row r="595" spans="2:15" outlineLevel="2">
      <c r="B595" s="793"/>
      <c r="C595" s="802"/>
      <c r="D595" s="794">
        <v>4</v>
      </c>
      <c r="E595" s="795" t="s">
        <v>913</v>
      </c>
      <c r="F595" s="795"/>
      <c r="G595" s="796"/>
      <c r="H595" s="797"/>
      <c r="I595" s="798"/>
      <c r="J595" s="798"/>
      <c r="K595" s="804"/>
      <c r="L595" s="800"/>
      <c r="M595" s="801"/>
    </row>
    <row r="596" spans="2:15" outlineLevel="2">
      <c r="B596" s="793"/>
      <c r="C596" s="802"/>
      <c r="D596" s="794"/>
      <c r="E596" s="803" t="s">
        <v>837</v>
      </c>
      <c r="F596" s="795"/>
      <c r="G596" s="796"/>
      <c r="H596" s="797">
        <v>15</v>
      </c>
      <c r="I596" s="798" t="s">
        <v>682</v>
      </c>
      <c r="J596" s="798" t="s">
        <v>73</v>
      </c>
      <c r="K596" s="804" t="e">
        <f>VLOOKUP(J596,RKPANL!B:D,2,0)</f>
        <v>#N/A</v>
      </c>
      <c r="L596" s="800">
        <v>500000</v>
      </c>
      <c r="M596" s="801">
        <f t="shared" si="21"/>
        <v>7500000</v>
      </c>
    </row>
    <row r="597" spans="2:15" outlineLevel="2">
      <c r="B597" s="793"/>
      <c r="C597" s="802"/>
      <c r="D597" s="794"/>
      <c r="E597" s="803" t="s">
        <v>583</v>
      </c>
      <c r="F597" s="795"/>
      <c r="G597" s="796"/>
      <c r="H597" s="797">
        <v>21</v>
      </c>
      <c r="I597" s="798" t="s">
        <v>682</v>
      </c>
      <c r="J597" s="798" t="s">
        <v>73</v>
      </c>
      <c r="K597" s="804" t="e">
        <f>VLOOKUP(J597,RKPANL!B:D,2,0)</f>
        <v>#N/A</v>
      </c>
      <c r="L597" s="800">
        <v>400000</v>
      </c>
      <c r="M597" s="801">
        <f t="shared" si="21"/>
        <v>8400000</v>
      </c>
    </row>
    <row r="598" spans="2:15" outlineLevel="2">
      <c r="B598" s="793"/>
      <c r="C598" s="802"/>
      <c r="D598" s="794"/>
      <c r="E598" s="803"/>
      <c r="F598" s="795"/>
      <c r="G598" s="796"/>
      <c r="H598" s="797"/>
      <c r="I598" s="798"/>
      <c r="J598" s="798"/>
      <c r="K598" s="804"/>
      <c r="L598" s="800"/>
      <c r="M598" s="801"/>
    </row>
    <row r="599" spans="2:15" ht="15.6" outlineLevel="1">
      <c r="B599" s="793"/>
      <c r="C599" s="848" t="s">
        <v>824</v>
      </c>
      <c r="D599" s="696" t="s">
        <v>584</v>
      </c>
      <c r="E599" s="849"/>
      <c r="F599" s="795"/>
      <c r="G599" s="796"/>
      <c r="H599" s="797"/>
      <c r="I599" s="798"/>
      <c r="J599" s="798"/>
      <c r="K599" s="804"/>
      <c r="L599" s="800"/>
      <c r="M599" s="801"/>
    </row>
    <row r="600" spans="2:15" ht="16.2" outlineLevel="2">
      <c r="B600" s="793"/>
      <c r="C600" s="802"/>
      <c r="D600" s="794">
        <v>1</v>
      </c>
      <c r="E600" s="812" t="s">
        <v>917</v>
      </c>
      <c r="F600" s="795"/>
      <c r="G600" s="796"/>
      <c r="H600" s="797">
        <v>10</v>
      </c>
      <c r="I600" s="798" t="s">
        <v>81</v>
      </c>
      <c r="J600" s="798" t="s">
        <v>73</v>
      </c>
      <c r="K600" s="804" t="e">
        <f>VLOOKUP(J600,RKPANL!B:D,2,0)</f>
        <v>#N/A</v>
      </c>
      <c r="L600" s="800">
        <v>250000</v>
      </c>
      <c r="M600" s="801">
        <f>L600*H600</f>
        <v>2500000</v>
      </c>
      <c r="O600" s="1129">
        <f>REKAP!$J$37</f>
        <v>0</v>
      </c>
    </row>
    <row r="601" spans="2:15" outlineLevel="2">
      <c r="B601" s="793"/>
      <c r="C601" s="802"/>
      <c r="D601" s="794">
        <v>2</v>
      </c>
      <c r="E601" s="812" t="s">
        <v>587</v>
      </c>
      <c r="F601" s="795"/>
      <c r="G601" s="796"/>
      <c r="H601" s="797">
        <v>50</v>
      </c>
      <c r="I601" s="798" t="s">
        <v>23</v>
      </c>
      <c r="J601" s="798" t="s">
        <v>73</v>
      </c>
      <c r="K601" s="804" t="e">
        <f>VLOOKUP(J601,RKPANL!B:D,2,0)</f>
        <v>#N/A</v>
      </c>
      <c r="L601" s="800">
        <v>25000</v>
      </c>
      <c r="M601" s="801">
        <f>L601*H601</f>
        <v>1250000</v>
      </c>
    </row>
    <row r="602" spans="2:15" outlineLevel="2">
      <c r="B602" s="793"/>
      <c r="C602" s="802"/>
      <c r="D602" s="794">
        <v>3</v>
      </c>
      <c r="E602" s="812" t="s">
        <v>588</v>
      </c>
      <c r="F602" s="795"/>
      <c r="G602" s="796"/>
      <c r="H602" s="797">
        <v>50</v>
      </c>
      <c r="I602" s="798" t="s">
        <v>23</v>
      </c>
      <c r="J602" s="798" t="s">
        <v>73</v>
      </c>
      <c r="K602" s="804" t="e">
        <f>VLOOKUP(J602,RKPANL!B:D,2,0)</f>
        <v>#N/A</v>
      </c>
      <c r="L602" s="800">
        <v>23000</v>
      </c>
      <c r="M602" s="801">
        <f>L602*H602</f>
        <v>1150000</v>
      </c>
      <c r="O602" s="1139">
        <v>-4350000</v>
      </c>
    </row>
    <row r="603" spans="2:15" outlineLevel="2">
      <c r="B603" s="793"/>
      <c r="C603" s="802"/>
      <c r="D603" s="794">
        <v>4</v>
      </c>
      <c r="E603" s="812" t="s">
        <v>589</v>
      </c>
      <c r="F603" s="795"/>
      <c r="G603" s="796"/>
      <c r="H603" s="797">
        <v>50</v>
      </c>
      <c r="I603" s="798" t="s">
        <v>133</v>
      </c>
      <c r="J603" s="798" t="s">
        <v>73</v>
      </c>
      <c r="K603" s="804" t="e">
        <f>VLOOKUP(J603,RKPANL!B:D,2,0)</f>
        <v>#N/A</v>
      </c>
      <c r="L603" s="800">
        <v>80000</v>
      </c>
      <c r="M603" s="801">
        <f>L603*H603</f>
        <v>4000000</v>
      </c>
      <c r="O603" s="1139">
        <v>4530000</v>
      </c>
    </row>
    <row r="604" spans="2:15" outlineLevel="2">
      <c r="B604" s="793"/>
      <c r="C604" s="802"/>
      <c r="D604" s="794"/>
      <c r="E604" s="795"/>
      <c r="F604" s="795"/>
      <c r="G604" s="796"/>
      <c r="H604" s="797"/>
      <c r="I604" s="798"/>
      <c r="J604" s="798"/>
      <c r="K604" s="806"/>
      <c r="L604" s="800"/>
      <c r="M604" s="801"/>
      <c r="O604" s="1139">
        <f>O603-O602</f>
        <v>8880000</v>
      </c>
    </row>
    <row r="605" spans="2:15" ht="15.6">
      <c r="B605" s="807"/>
      <c r="C605" s="808"/>
      <c r="D605" s="808"/>
      <c r="E605" s="808"/>
      <c r="F605" s="808"/>
      <c r="G605" s="808"/>
      <c r="H605" s="809"/>
      <c r="I605" s="808"/>
      <c r="J605" s="809"/>
      <c r="K605" s="1224" t="s">
        <v>593</v>
      </c>
      <c r="L605" s="1225"/>
      <c r="M605" s="810">
        <f>SUM(M591:M604)</f>
        <v>38080539.5</v>
      </c>
      <c r="N605" s="879">
        <f>M605</f>
        <v>38080539.5</v>
      </c>
      <c r="O605" s="1139">
        <f>O604/100</f>
        <v>88800</v>
      </c>
    </row>
    <row r="606" spans="2:15" ht="16.2" thickBot="1">
      <c r="B606" s="865" t="s">
        <v>60</v>
      </c>
      <c r="C606" s="866"/>
      <c r="D606" s="866"/>
      <c r="E606" s="866"/>
      <c r="F606" s="866"/>
      <c r="G606" s="866"/>
      <c r="H606" s="867"/>
      <c r="I606" s="866"/>
      <c r="J606" s="866"/>
      <c r="K606" s="866"/>
      <c r="L606" s="866"/>
      <c r="M606" s="896">
        <f>M26+M45+M81+M120+M232+M375+M448+M468+M483+M502+M520+M526+M578+M582+M589+M605</f>
        <v>5991960939.9127369</v>
      </c>
      <c r="N606" s="879">
        <f>SUM(N26:N605)</f>
        <v>5991960939.9127369</v>
      </c>
      <c r="O606" s="1139">
        <v>4350000</v>
      </c>
    </row>
    <row r="607" spans="2:15" ht="15.6" thickTop="1">
      <c r="F607" s="767"/>
      <c r="L607" s="868"/>
      <c r="O607" s="1139">
        <f>O606/O605</f>
        <v>48.986486486486484</v>
      </c>
    </row>
    <row r="608" spans="2:15">
      <c r="E608" s="767"/>
      <c r="F608" s="771"/>
      <c r="J608" s="770"/>
      <c r="L608" s="868" t="s">
        <v>521</v>
      </c>
      <c r="M608" s="769"/>
    </row>
    <row r="609" spans="2:13">
      <c r="E609" s="767"/>
      <c r="F609" s="771"/>
      <c r="J609" s="770"/>
      <c r="L609" s="868" t="s">
        <v>520</v>
      </c>
      <c r="M609" s="769"/>
    </row>
    <row r="610" spans="2:13" ht="15.6">
      <c r="B610" s="767"/>
      <c r="C610" s="767"/>
      <c r="E610" s="767"/>
      <c r="G610" s="764"/>
      <c r="J610" s="770"/>
      <c r="L610" s="897" t="s">
        <v>521</v>
      </c>
      <c r="M610" s="769"/>
    </row>
    <row r="611" spans="2:13" ht="15.6">
      <c r="E611" s="869"/>
      <c r="F611" s="870"/>
      <c r="J611" s="770"/>
      <c r="L611" s="869"/>
      <c r="M611" s="870"/>
    </row>
    <row r="612" spans="2:13">
      <c r="E612" s="767"/>
      <c r="J612" s="770"/>
      <c r="L612" s="868"/>
      <c r="M612" s="871"/>
    </row>
  </sheetData>
  <mergeCells count="19">
    <mergeCell ref="K520:L520"/>
    <mergeCell ref="K526:L526"/>
    <mergeCell ref="K483:L483"/>
    <mergeCell ref="K605:L605"/>
    <mergeCell ref="K589:L589"/>
    <mergeCell ref="K582:L582"/>
    <mergeCell ref="B3:M3"/>
    <mergeCell ref="C11:G11"/>
    <mergeCell ref="C12:G12"/>
    <mergeCell ref="K26:L26"/>
    <mergeCell ref="K81:L81"/>
    <mergeCell ref="K45:L45"/>
    <mergeCell ref="K468:L468"/>
    <mergeCell ref="K578:L578"/>
    <mergeCell ref="K232:L232"/>
    <mergeCell ref="K120:L120"/>
    <mergeCell ref="K375:L375"/>
    <mergeCell ref="K502:L502"/>
    <mergeCell ref="K448:L448"/>
  </mergeCells>
  <printOptions horizontalCentered="1"/>
  <pageMargins left="0.59055118110236227" right="0.39370078740157483" top="0.59055118110236227" bottom="0.59055118110236227" header="0.51181102362204722" footer="0.39370078740157483"/>
  <pageSetup paperSize="9" scale="62" orientation="portrait" r:id="rId1"/>
  <headerFooter alignWithMargins="0">
    <oddFooter>&amp;C&amp;9&amp;P / &amp;N</oddFooter>
  </headerFooter>
  <rowBreaks count="5" manualBreakCount="5">
    <brk id="81" min="1" max="12" man="1"/>
    <brk id="160" min="1" max="12" man="1"/>
    <brk id="238" min="1" max="12" man="1"/>
    <brk id="394" min="1" max="12" man="1"/>
    <brk id="473" min="1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outlinePr summaryBelow="0" summaryRight="0"/>
  </sheetPr>
  <dimension ref="B3:U376"/>
  <sheetViews>
    <sheetView view="pageBreakPreview" topLeftCell="A27" zoomScale="90" zoomScaleNormal="100" zoomScaleSheetLayoutView="90" workbookViewId="0">
      <selection activeCell="G63" sqref="G63"/>
    </sheetView>
  </sheetViews>
  <sheetFormatPr defaultColWidth="9.21875" defaultRowHeight="15.6"/>
  <cols>
    <col min="1" max="1" width="9.21875" style="563"/>
    <col min="2" max="2" width="4.5546875" style="557" customWidth="1"/>
    <col min="3" max="4" width="4.77734375" style="75" customWidth="1"/>
    <col min="5" max="5" width="10.21875" style="558" customWidth="1"/>
    <col min="6" max="6" width="2" style="557" customWidth="1"/>
    <col min="7" max="7" width="32.6640625" style="560" customWidth="1"/>
    <col min="8" max="8" width="10.21875" style="402" customWidth="1"/>
    <col min="9" max="9" width="3.21875" style="80" customWidth="1"/>
    <col min="10" max="10" width="10.21875" style="62" customWidth="1"/>
    <col min="11" max="11" width="3.21875" style="80" customWidth="1"/>
    <col min="12" max="12" width="10.21875" style="62" customWidth="1"/>
    <col min="13" max="13" width="3.21875" style="80" customWidth="1"/>
    <col min="14" max="14" width="10.21875" style="62" customWidth="1"/>
    <col min="15" max="15" width="3.21875" style="80" customWidth="1"/>
    <col min="16" max="16" width="10.77734375" style="63" customWidth="1"/>
    <col min="17" max="17" width="5.77734375" style="62" customWidth="1"/>
    <col min="18" max="18" width="10.77734375" style="43" customWidth="1"/>
    <col min="19" max="19" width="7.21875" style="570" customWidth="1"/>
    <col min="20" max="20" width="9.21875" style="563"/>
    <col min="21" max="21" width="20.109375" style="1133" customWidth="1"/>
    <col min="22" max="16384" width="9.21875" style="563"/>
  </cols>
  <sheetData>
    <row r="3" spans="2:21" s="516" customFormat="1" ht="26.25" customHeight="1">
      <c r="B3" s="1233" t="s">
        <v>389</v>
      </c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1233"/>
      <c r="R3" s="1233"/>
      <c r="S3" s="1233"/>
      <c r="U3" s="1130"/>
    </row>
    <row r="4" spans="2:21" s="516" customFormat="1" ht="16.350000000000001" customHeight="1">
      <c r="B4" s="388"/>
      <c r="C4" s="388"/>
      <c r="D4" s="388"/>
      <c r="E4" s="388"/>
      <c r="F4" s="388"/>
      <c r="G4" s="388"/>
      <c r="H4" s="395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U4" s="1130"/>
    </row>
    <row r="5" spans="2:21" s="516" customFormat="1" ht="15" customHeight="1">
      <c r="B5" s="388"/>
      <c r="C5" s="388"/>
      <c r="D5" s="388"/>
      <c r="E5" s="388"/>
      <c r="F5" s="388"/>
      <c r="G5" s="388"/>
      <c r="H5" s="395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U5" s="1130"/>
    </row>
    <row r="6" spans="2:21" s="516" customFormat="1" ht="19.8" customHeight="1">
      <c r="B6" s="159" t="s">
        <v>384</v>
      </c>
      <c r="C6" s="167"/>
      <c r="D6" s="149"/>
      <c r="E6" s="185"/>
      <c r="F6" s="159" t="s">
        <v>26</v>
      </c>
      <c r="G6" s="159" t="s">
        <v>380</v>
      </c>
      <c r="H6" s="396"/>
      <c r="I6" s="76"/>
      <c r="J6" s="49"/>
      <c r="K6" s="76"/>
      <c r="L6" s="49"/>
      <c r="M6" s="76"/>
      <c r="N6" s="49"/>
      <c r="O6" s="76"/>
      <c r="P6" s="49"/>
      <c r="Q6" s="50"/>
      <c r="R6" s="28"/>
      <c r="S6" s="517"/>
      <c r="U6" s="1130"/>
    </row>
    <row r="7" spans="2:21" s="519" customFormat="1" ht="19.8" customHeight="1">
      <c r="B7" s="167" t="s">
        <v>385</v>
      </c>
      <c r="C7" s="167"/>
      <c r="D7" s="149"/>
      <c r="E7" s="185"/>
      <c r="F7" s="159" t="s">
        <v>26</v>
      </c>
      <c r="G7" s="159" t="s">
        <v>377</v>
      </c>
      <c r="H7" s="397"/>
      <c r="I7" s="52"/>
      <c r="J7" s="51"/>
      <c r="K7" s="52"/>
      <c r="L7" s="51"/>
      <c r="M7" s="52"/>
      <c r="N7" s="51"/>
      <c r="O7" s="52"/>
      <c r="P7" s="52"/>
      <c r="Q7" s="51"/>
      <c r="R7" s="38"/>
      <c r="S7" s="518"/>
      <c r="U7" s="1129"/>
    </row>
    <row r="8" spans="2:21" s="519" customFormat="1" ht="19.8" customHeight="1">
      <c r="B8" s="167" t="s">
        <v>388</v>
      </c>
      <c r="C8" s="167"/>
      <c r="D8" s="149"/>
      <c r="E8" s="185"/>
      <c r="F8" s="159" t="s">
        <v>26</v>
      </c>
      <c r="G8" s="185" t="s">
        <v>375</v>
      </c>
      <c r="H8" s="397"/>
      <c r="I8" s="52"/>
      <c r="J8" s="51"/>
      <c r="K8" s="52"/>
      <c r="L8" s="51"/>
      <c r="M8" s="52"/>
      <c r="N8" s="51"/>
      <c r="O8" s="52"/>
      <c r="P8" s="52"/>
      <c r="Q8" s="51"/>
      <c r="R8" s="38"/>
      <c r="S8" s="518"/>
      <c r="U8" s="1129"/>
    </row>
    <row r="9" spans="2:21" s="519" customFormat="1" ht="19.8" customHeight="1">
      <c r="B9" s="167" t="s">
        <v>386</v>
      </c>
      <c r="C9" s="167"/>
      <c r="D9" s="149"/>
      <c r="E9" s="185"/>
      <c r="F9" s="159" t="s">
        <v>26</v>
      </c>
      <c r="G9" s="160" t="s">
        <v>376</v>
      </c>
      <c r="H9" s="397"/>
      <c r="I9" s="52"/>
      <c r="J9" s="51"/>
      <c r="K9" s="52"/>
      <c r="L9" s="51"/>
      <c r="M9" s="52"/>
      <c r="N9" s="51"/>
      <c r="O9" s="52"/>
      <c r="P9" s="52"/>
      <c r="Q9" s="51"/>
      <c r="R9" s="38"/>
      <c r="S9" s="167"/>
      <c r="U9" s="1129"/>
    </row>
    <row r="10" spans="2:21" s="519" customFormat="1" ht="19.8" customHeight="1">
      <c r="B10" s="167" t="s">
        <v>387</v>
      </c>
      <c r="C10" s="167"/>
      <c r="D10" s="149"/>
      <c r="E10" s="185"/>
      <c r="F10" s="159" t="s">
        <v>26</v>
      </c>
      <c r="G10" s="167" t="s">
        <v>348</v>
      </c>
      <c r="H10" s="397"/>
      <c r="I10" s="52"/>
      <c r="J10" s="51"/>
      <c r="K10" s="52"/>
      <c r="L10" s="51"/>
      <c r="M10" s="52"/>
      <c r="N10" s="51"/>
      <c r="O10" s="52"/>
      <c r="P10" s="52"/>
      <c r="Q10" s="51"/>
      <c r="R10" s="38"/>
      <c r="S10" s="167"/>
      <c r="U10" s="1129"/>
    </row>
    <row r="11" spans="2:21" s="519" customFormat="1" ht="16.5" customHeight="1" thickBot="1">
      <c r="B11" s="185"/>
      <c r="C11" s="73"/>
      <c r="D11" s="73"/>
      <c r="E11" s="167"/>
      <c r="F11" s="185"/>
      <c r="G11" s="520"/>
      <c r="H11" s="397"/>
      <c r="I11" s="52"/>
      <c r="J11" s="51"/>
      <c r="K11" s="52"/>
      <c r="L11" s="51"/>
      <c r="M11" s="52"/>
      <c r="N11" s="51"/>
      <c r="O11" s="52"/>
      <c r="P11" s="53"/>
      <c r="Q11" s="51"/>
      <c r="R11" s="39"/>
      <c r="S11" s="521"/>
      <c r="U11" s="1129"/>
    </row>
    <row r="12" spans="2:21" s="524" customFormat="1" ht="38.25" customHeight="1" thickTop="1">
      <c r="B12" s="522" t="s">
        <v>0</v>
      </c>
      <c r="C12" s="1194" t="s">
        <v>24</v>
      </c>
      <c r="D12" s="1195"/>
      <c r="E12" s="1195"/>
      <c r="F12" s="1195"/>
      <c r="G12" s="1196"/>
      <c r="H12" s="1234" t="s">
        <v>68</v>
      </c>
      <c r="I12" s="1235"/>
      <c r="J12" s="1235"/>
      <c r="K12" s="1235"/>
      <c r="L12" s="1235"/>
      <c r="M12" s="1235"/>
      <c r="N12" s="1235"/>
      <c r="O12" s="1235"/>
      <c r="P12" s="1235"/>
      <c r="Q12" s="1235"/>
      <c r="R12" s="338" t="s">
        <v>54</v>
      </c>
      <c r="S12" s="523" t="s">
        <v>40</v>
      </c>
      <c r="U12" s="1131"/>
    </row>
    <row r="13" spans="2:21" s="519" customFormat="1" ht="16.5" customHeight="1" thickBot="1">
      <c r="B13" s="525" t="s">
        <v>9</v>
      </c>
      <c r="C13" s="1236" t="s">
        <v>10</v>
      </c>
      <c r="D13" s="1237"/>
      <c r="E13" s="1237"/>
      <c r="F13" s="1237"/>
      <c r="G13" s="1238"/>
      <c r="H13" s="1239" t="s">
        <v>11</v>
      </c>
      <c r="I13" s="1240"/>
      <c r="J13" s="1240"/>
      <c r="K13" s="1240"/>
      <c r="L13" s="1240"/>
      <c r="M13" s="1240"/>
      <c r="N13" s="1240"/>
      <c r="O13" s="1240"/>
      <c r="P13" s="1240"/>
      <c r="Q13" s="1240"/>
      <c r="R13" s="336" t="s">
        <v>12</v>
      </c>
      <c r="S13" s="526" t="s">
        <v>13</v>
      </c>
      <c r="U13" s="1129"/>
    </row>
    <row r="14" spans="2:21" s="519" customFormat="1" ht="16.5" customHeight="1" thickTop="1">
      <c r="B14" s="527"/>
      <c r="C14" s="74"/>
      <c r="D14" s="377"/>
      <c r="E14" s="528"/>
      <c r="F14" s="529"/>
      <c r="G14" s="530"/>
      <c r="H14" s="398"/>
      <c r="I14" s="77"/>
      <c r="J14" s="54"/>
      <c r="K14" s="77"/>
      <c r="L14" s="54"/>
      <c r="M14" s="77"/>
      <c r="N14" s="54"/>
      <c r="O14" s="77"/>
      <c r="P14" s="55"/>
      <c r="Q14" s="56"/>
      <c r="R14" s="40"/>
      <c r="S14" s="531"/>
      <c r="U14" s="1129"/>
    </row>
    <row r="15" spans="2:21" s="519" customFormat="1" ht="16.5" customHeight="1">
      <c r="B15" s="532"/>
      <c r="C15" s="48"/>
      <c r="D15" s="378"/>
      <c r="E15" s="533"/>
      <c r="F15" s="534"/>
      <c r="G15" s="535"/>
      <c r="H15" s="399"/>
      <c r="I15" s="78"/>
      <c r="J15" s="57"/>
      <c r="K15" s="78"/>
      <c r="L15" s="57"/>
      <c r="M15" s="78"/>
      <c r="N15" s="57"/>
      <c r="O15" s="78"/>
      <c r="P15" s="61"/>
      <c r="Q15" s="59"/>
      <c r="R15" s="41"/>
      <c r="S15" s="536"/>
      <c r="U15" s="1129"/>
    </row>
    <row r="16" spans="2:21" s="541" customFormat="1" ht="19.350000000000001" customHeight="1">
      <c r="B16" s="537" t="str">
        <f>[72]RAB!B14</f>
        <v>A</v>
      </c>
      <c r="C16" s="469" t="str">
        <f>[72]RAB!C14</f>
        <v>PEKERJAAN PENDAHULUAN</v>
      </c>
      <c r="D16" s="470"/>
      <c r="E16" s="538"/>
      <c r="F16" s="538"/>
      <c r="G16" s="539"/>
      <c r="H16" s="473"/>
      <c r="I16" s="474"/>
      <c r="J16" s="475"/>
      <c r="K16" s="474"/>
      <c r="L16" s="475"/>
      <c r="M16" s="474"/>
      <c r="N16" s="475"/>
      <c r="O16" s="540"/>
      <c r="P16" s="540"/>
      <c r="Q16" s="540"/>
      <c r="R16" s="477"/>
      <c r="S16" s="478"/>
      <c r="U16" s="1132"/>
    </row>
    <row r="17" spans="2:21" s="519" customFormat="1" ht="16.5" customHeight="1">
      <c r="B17" s="542"/>
      <c r="C17" s="15"/>
      <c r="D17" s="33">
        <f>[72]RAB!D15</f>
        <v>1</v>
      </c>
      <c r="E17" s="543" t="str">
        <f>[72]RAB!E15</f>
        <v>Pekerjaan Pengukuran dan Pas. Bowplank</v>
      </c>
      <c r="F17" s="544"/>
      <c r="G17" s="545"/>
      <c r="H17" s="399"/>
      <c r="I17" s="78"/>
      <c r="J17" s="57"/>
      <c r="K17" s="78"/>
      <c r="L17" s="57"/>
      <c r="M17" s="78"/>
      <c r="N17" s="57"/>
      <c r="O17" s="78"/>
      <c r="P17" s="58"/>
      <c r="Q17" s="59"/>
      <c r="R17" s="29">
        <v>1</v>
      </c>
      <c r="S17" s="546" t="s">
        <v>20</v>
      </c>
      <c r="U17" s="1129"/>
    </row>
    <row r="18" spans="2:21" s="519" customFormat="1" ht="16.5" customHeight="1">
      <c r="B18" s="547"/>
      <c r="C18" s="15"/>
      <c r="D18" s="33">
        <f>[72]RAB!D16</f>
        <v>2</v>
      </c>
      <c r="E18" s="543" t="str">
        <f>[72]RAB!E16</f>
        <v>Biaya SMK3</v>
      </c>
      <c r="F18" s="544"/>
      <c r="G18" s="545"/>
      <c r="H18" s="399"/>
      <c r="I18" s="78"/>
      <c r="J18" s="57"/>
      <c r="K18" s="78"/>
      <c r="L18" s="57"/>
      <c r="M18" s="78"/>
      <c r="N18" s="57"/>
      <c r="O18" s="78"/>
      <c r="P18" s="58"/>
      <c r="Q18" s="59"/>
      <c r="R18" s="29"/>
      <c r="S18" s="546"/>
      <c r="U18" s="1129"/>
    </row>
    <row r="19" spans="2:21" s="519" customFormat="1" ht="16.5" customHeight="1">
      <c r="B19" s="547"/>
      <c r="C19" s="15"/>
      <c r="D19" s="33">
        <f>[72]RAB!D17</f>
        <v>0</v>
      </c>
      <c r="E19" s="543" t="str">
        <f>[72]RAB!E17</f>
        <v>Helm Safety</v>
      </c>
      <c r="F19" s="544"/>
      <c r="G19" s="545"/>
      <c r="H19" s="399"/>
      <c r="I19" s="78"/>
      <c r="J19" s="57"/>
      <c r="K19" s="78"/>
      <c r="L19" s="57"/>
      <c r="M19" s="78"/>
      <c r="N19" s="57"/>
      <c r="O19" s="78"/>
      <c r="P19" s="58"/>
      <c r="Q19" s="59"/>
      <c r="R19" s="29">
        <v>6</v>
      </c>
      <c r="S19" s="546" t="s">
        <v>62</v>
      </c>
      <c r="U19" s="1129"/>
    </row>
    <row r="20" spans="2:21" s="519" customFormat="1" ht="16.5" customHeight="1">
      <c r="B20" s="547"/>
      <c r="C20" s="15"/>
      <c r="D20" s="33">
        <f>[72]RAB!D18</f>
        <v>0</v>
      </c>
      <c r="E20" s="543" t="str">
        <f>[72]RAB!E18</f>
        <v>Rompi Safety</v>
      </c>
      <c r="F20" s="544"/>
      <c r="G20" s="545"/>
      <c r="H20" s="399"/>
      <c r="I20" s="78"/>
      <c r="J20" s="57"/>
      <c r="K20" s="78"/>
      <c r="L20" s="57"/>
      <c r="M20" s="78"/>
      <c r="N20" s="57"/>
      <c r="O20" s="78"/>
      <c r="P20" s="58"/>
      <c r="Q20" s="59"/>
      <c r="R20" s="29">
        <v>6</v>
      </c>
      <c r="S20" s="546" t="s">
        <v>62</v>
      </c>
      <c r="U20" s="1129"/>
    </row>
    <row r="21" spans="2:21" s="519" customFormat="1" ht="16.5" customHeight="1">
      <c r="B21" s="547"/>
      <c r="C21" s="15"/>
      <c r="D21" s="33">
        <f>[72]RAB!D19</f>
        <v>0</v>
      </c>
      <c r="E21" s="543" t="str">
        <f>[72]RAB!E19</f>
        <v>Sepatu AP Boots</v>
      </c>
      <c r="F21" s="544"/>
      <c r="G21" s="545"/>
      <c r="H21" s="399"/>
      <c r="I21" s="78"/>
      <c r="J21" s="57"/>
      <c r="K21" s="78"/>
      <c r="L21" s="57"/>
      <c r="M21" s="78"/>
      <c r="N21" s="57"/>
      <c r="O21" s="78"/>
      <c r="P21" s="58"/>
      <c r="Q21" s="59"/>
      <c r="R21" s="29">
        <v>6</v>
      </c>
      <c r="S21" s="546" t="s">
        <v>240</v>
      </c>
      <c r="U21" s="1129"/>
    </row>
    <row r="22" spans="2:21" s="519" customFormat="1" ht="16.5" customHeight="1">
      <c r="B22" s="547"/>
      <c r="C22" s="15"/>
      <c r="D22" s="33">
        <f>[72]RAB!D20</f>
        <v>0</v>
      </c>
      <c r="E22" s="543" t="str">
        <f>[72]RAB!E20</f>
        <v>Sarung Tangan</v>
      </c>
      <c r="F22" s="544"/>
      <c r="G22" s="545"/>
      <c r="H22" s="399"/>
      <c r="I22" s="78"/>
      <c r="J22" s="57"/>
      <c r="K22" s="78"/>
      <c r="L22" s="57"/>
      <c r="M22" s="78"/>
      <c r="N22" s="57"/>
      <c r="O22" s="78"/>
      <c r="P22" s="58"/>
      <c r="Q22" s="59"/>
      <c r="R22" s="29">
        <v>6</v>
      </c>
      <c r="S22" s="546" t="s">
        <v>240</v>
      </c>
      <c r="U22" s="1129"/>
    </row>
    <row r="23" spans="2:21" s="519" customFormat="1" ht="16.5" customHeight="1">
      <c r="B23" s="547"/>
      <c r="C23" s="33"/>
      <c r="D23" s="33">
        <f>[72]RAB!D21</f>
        <v>3</v>
      </c>
      <c r="E23" s="543" t="str">
        <f>[72]RAB!E21</f>
        <v>Sewa Gudang dan Barak Kerja</v>
      </c>
      <c r="F23" s="544"/>
      <c r="G23" s="545"/>
      <c r="H23" s="399"/>
      <c r="I23" s="78"/>
      <c r="J23" s="57"/>
      <c r="K23" s="78"/>
      <c r="L23" s="57"/>
      <c r="M23" s="78"/>
      <c r="N23" s="57"/>
      <c r="O23" s="78"/>
      <c r="P23" s="58"/>
      <c r="Q23" s="59"/>
      <c r="R23" s="29">
        <v>1</v>
      </c>
      <c r="S23" s="546" t="s">
        <v>20</v>
      </c>
      <c r="U23" s="1129"/>
    </row>
    <row r="24" spans="2:21" s="519" customFormat="1" ht="16.5" customHeight="1">
      <c r="B24" s="542"/>
      <c r="C24" s="15"/>
      <c r="D24" s="33">
        <f>[72]RAB!D22</f>
        <v>4</v>
      </c>
      <c r="E24" s="543" t="str">
        <f>[72]RAB!E22</f>
        <v>Pembersihan Akhir</v>
      </c>
      <c r="F24" s="543"/>
      <c r="G24" s="548"/>
      <c r="H24" s="401"/>
      <c r="I24" s="79"/>
      <c r="J24" s="60"/>
      <c r="K24" s="79"/>
      <c r="L24" s="60"/>
      <c r="M24" s="79"/>
      <c r="N24" s="60"/>
      <c r="O24" s="79"/>
      <c r="P24" s="61"/>
      <c r="Q24" s="59"/>
      <c r="R24" s="29">
        <v>1</v>
      </c>
      <c r="S24" s="546" t="s">
        <v>20</v>
      </c>
      <c r="U24" s="1129"/>
    </row>
    <row r="25" spans="2:21" s="519" customFormat="1" ht="16.5" customHeight="1">
      <c r="B25" s="542"/>
      <c r="C25" s="15"/>
      <c r="D25" s="33"/>
      <c r="E25" s="543"/>
      <c r="F25" s="543"/>
      <c r="G25" s="548"/>
      <c r="H25" s="401"/>
      <c r="I25" s="79"/>
      <c r="J25" s="60"/>
      <c r="K25" s="79"/>
      <c r="L25" s="60"/>
      <c r="M25" s="79"/>
      <c r="N25" s="60"/>
      <c r="O25" s="79"/>
      <c r="P25" s="61"/>
      <c r="Q25" s="59"/>
      <c r="R25" s="42"/>
      <c r="S25" s="546"/>
      <c r="U25" s="1129"/>
    </row>
    <row r="26" spans="2:21" s="519" customFormat="1" ht="16.5" customHeight="1">
      <c r="B26" s="542"/>
      <c r="C26" s="15"/>
      <c r="D26" s="33"/>
      <c r="E26" s="543"/>
      <c r="F26" s="543"/>
      <c r="G26" s="545"/>
      <c r="H26" s="399"/>
      <c r="I26" s="78"/>
      <c r="J26" s="57"/>
      <c r="K26" s="78"/>
      <c r="L26" s="57"/>
      <c r="M26" s="78"/>
      <c r="N26" s="57"/>
      <c r="O26" s="78"/>
      <c r="P26" s="58"/>
      <c r="Q26" s="59"/>
      <c r="R26" s="29"/>
      <c r="S26" s="68"/>
      <c r="U26" s="1129"/>
    </row>
    <row r="27" spans="2:21" s="541" customFormat="1" ht="19.350000000000001" customHeight="1">
      <c r="B27" s="537" t="str">
        <f>RAB!B27</f>
        <v>B</v>
      </c>
      <c r="C27" s="469" t="str">
        <f>RAB!C27</f>
        <v>PEKERJAAN PAVING SELASAR KELILING</v>
      </c>
      <c r="D27" s="470"/>
      <c r="E27" s="538"/>
      <c r="F27" s="538"/>
      <c r="G27" s="539"/>
      <c r="H27" s="473"/>
      <c r="I27" s="474"/>
      <c r="J27" s="475"/>
      <c r="K27" s="474"/>
      <c r="L27" s="475"/>
      <c r="M27" s="474"/>
      <c r="N27" s="475"/>
      <c r="O27" s="540"/>
      <c r="P27" s="540"/>
      <c r="Q27" s="540"/>
      <c r="R27" s="477"/>
      <c r="S27" s="478"/>
      <c r="U27" s="1132"/>
    </row>
    <row r="28" spans="2:21" s="519" customFormat="1" ht="16.5" customHeight="1">
      <c r="B28" s="549"/>
      <c r="C28" s="465" t="str">
        <f>RAB!C28</f>
        <v>I</v>
      </c>
      <c r="D28" s="382" t="str">
        <f>RAB!D28</f>
        <v>PEKERJAAN PAVING</v>
      </c>
      <c r="E28" s="550"/>
      <c r="F28" s="550"/>
      <c r="G28" s="551"/>
      <c r="H28" s="400"/>
      <c r="I28" s="385"/>
      <c r="J28" s="389"/>
      <c r="K28" s="385"/>
      <c r="L28" s="389"/>
      <c r="M28" s="385"/>
      <c r="N28" s="389"/>
      <c r="O28" s="385"/>
      <c r="P28" s="466"/>
      <c r="Q28" s="467"/>
      <c r="R28" s="386"/>
      <c r="S28" s="387"/>
      <c r="U28" s="1129"/>
    </row>
    <row r="29" spans="2:21" s="519" customFormat="1" ht="16.5" customHeight="1">
      <c r="B29" s="542"/>
      <c r="C29" s="380"/>
      <c r="D29" s="33"/>
      <c r="E29" s="543"/>
      <c r="F29" s="543"/>
      <c r="G29" s="545"/>
      <c r="H29" s="390"/>
      <c r="I29" s="78"/>
      <c r="J29" s="57"/>
      <c r="K29" s="78"/>
      <c r="L29" s="57"/>
      <c r="M29" s="78"/>
      <c r="N29" s="57"/>
      <c r="O29" s="78" t="s">
        <v>50</v>
      </c>
      <c r="P29" s="445">
        <v>6400</v>
      </c>
      <c r="Q29" s="413" t="s">
        <v>133</v>
      </c>
      <c r="R29" s="403"/>
      <c r="S29" s="404"/>
      <c r="T29" s="552"/>
      <c r="U29" s="1129">
        <f>REKAP!$J$37</f>
        <v>0</v>
      </c>
    </row>
    <row r="30" spans="2:21" s="519" customFormat="1" ht="16.5" customHeight="1">
      <c r="B30" s="542"/>
      <c r="C30" s="380"/>
      <c r="D30" s="33">
        <f>RAB!D29</f>
        <v>1</v>
      </c>
      <c r="E30" s="543" t="str">
        <f>RAB!E29</f>
        <v>Bongkar Paving Lama</v>
      </c>
      <c r="F30" s="543"/>
      <c r="G30" s="545"/>
      <c r="H30" s="439"/>
      <c r="I30" s="78"/>
      <c r="J30" s="57"/>
      <c r="K30" s="78"/>
      <c r="L30" s="57"/>
      <c r="M30" s="78"/>
      <c r="N30" s="57"/>
      <c r="O30" s="78"/>
      <c r="P30" s="58"/>
      <c r="Q30" s="59"/>
      <c r="R30" s="29">
        <f>L33</f>
        <v>6400</v>
      </c>
      <c r="S30" s="68" t="s">
        <v>133</v>
      </c>
      <c r="U30" s="1129"/>
    </row>
    <row r="31" spans="2:21" s="519" customFormat="1" ht="16.5" customHeight="1">
      <c r="B31" s="542"/>
      <c r="C31" s="380"/>
      <c r="D31" s="33"/>
      <c r="E31" s="543"/>
      <c r="F31" s="543"/>
      <c r="G31" s="548" t="s">
        <v>786</v>
      </c>
      <c r="H31" s="733">
        <f>P29</f>
        <v>6400</v>
      </c>
      <c r="I31" s="78" t="s">
        <v>49</v>
      </c>
      <c r="J31" s="734">
        <v>0.6</v>
      </c>
      <c r="K31" s="78" t="s">
        <v>50</v>
      </c>
      <c r="L31" s="57">
        <f>H31*J31</f>
        <v>3840</v>
      </c>
      <c r="M31" s="78"/>
      <c r="N31" s="57"/>
      <c r="O31" s="78"/>
      <c r="P31" s="58"/>
      <c r="Q31" s="59"/>
      <c r="R31" s="29"/>
      <c r="S31" s="68"/>
      <c r="U31" s="1129">
        <v>-109100000</v>
      </c>
    </row>
    <row r="32" spans="2:21" s="519" customFormat="1" ht="16.5" customHeight="1">
      <c r="B32" s="542"/>
      <c r="C32" s="380"/>
      <c r="D32" s="33"/>
      <c r="E32" s="543"/>
      <c r="F32" s="543"/>
      <c r="G32" s="548" t="s">
        <v>785</v>
      </c>
      <c r="H32" s="733">
        <f>P29</f>
        <v>6400</v>
      </c>
      <c r="I32" s="78" t="s">
        <v>49</v>
      </c>
      <c r="J32" s="734">
        <v>0.4</v>
      </c>
      <c r="K32" s="78" t="s">
        <v>50</v>
      </c>
      <c r="L32" s="57">
        <f>H32*J32</f>
        <v>2560</v>
      </c>
      <c r="M32" s="78"/>
      <c r="N32" s="57"/>
      <c r="O32" s="78"/>
      <c r="P32" s="58"/>
      <c r="Q32" s="59"/>
      <c r="R32" s="29"/>
      <c r="S32" s="68"/>
      <c r="U32" s="1129">
        <v>144300000</v>
      </c>
    </row>
    <row r="33" spans="2:21" s="519" customFormat="1" ht="16.5" customHeight="1">
      <c r="B33" s="542"/>
      <c r="C33" s="380"/>
      <c r="D33" s="33"/>
      <c r="E33" s="543"/>
      <c r="F33" s="543"/>
      <c r="G33" s="545"/>
      <c r="H33" s="439"/>
      <c r="I33" s="78"/>
      <c r="J33" s="57"/>
      <c r="K33" s="78"/>
      <c r="L33" s="60">
        <f>SUM(L31:L32)</f>
        <v>6400</v>
      </c>
      <c r="M33" s="78"/>
      <c r="N33" s="57"/>
      <c r="O33" s="78"/>
      <c r="P33" s="58"/>
      <c r="Q33" s="59"/>
      <c r="R33" s="29"/>
      <c r="S33" s="68"/>
      <c r="U33" s="1129">
        <f>U32-U31</f>
        <v>253400000</v>
      </c>
    </row>
    <row r="34" spans="2:21" s="519" customFormat="1" ht="16.5" customHeight="1">
      <c r="B34" s="542"/>
      <c r="C34" s="380"/>
      <c r="D34" s="33"/>
      <c r="E34" s="543"/>
      <c r="F34" s="543"/>
      <c r="G34" s="545"/>
      <c r="H34" s="439"/>
      <c r="I34" s="78"/>
      <c r="J34" s="57"/>
      <c r="K34" s="78"/>
      <c r="L34" s="57"/>
      <c r="M34" s="78"/>
      <c r="N34" s="57"/>
      <c r="O34" s="78"/>
      <c r="P34" s="58"/>
      <c r="Q34" s="59"/>
      <c r="R34" s="29"/>
      <c r="S34" s="68"/>
      <c r="U34" s="1129">
        <f>U33/1000</f>
        <v>253400</v>
      </c>
    </row>
    <row r="35" spans="2:21" s="519" customFormat="1" ht="16.5" customHeight="1">
      <c r="B35" s="542"/>
      <c r="C35" s="380"/>
      <c r="D35" s="33">
        <f>RAB!D30</f>
        <v>2</v>
      </c>
      <c r="E35" s="543" t="str">
        <f>RAB!E30</f>
        <v>Timbunan Tanah Peninggian Elevasi Paving</v>
      </c>
      <c r="F35" s="543"/>
      <c r="G35" s="545"/>
      <c r="H35" s="446">
        <f>P29</f>
        <v>6400</v>
      </c>
      <c r="I35" s="78" t="s">
        <v>49</v>
      </c>
      <c r="J35" s="57">
        <v>0.1</v>
      </c>
      <c r="K35" s="78"/>
      <c r="L35" s="57"/>
      <c r="M35" s="78"/>
      <c r="N35" s="57"/>
      <c r="O35" s="78" t="s">
        <v>50</v>
      </c>
      <c r="P35" s="58">
        <f>H35*J35</f>
        <v>640</v>
      </c>
      <c r="Q35" s="59" t="s">
        <v>81</v>
      </c>
      <c r="R35" s="29">
        <f>P35</f>
        <v>640</v>
      </c>
      <c r="S35" s="68" t="s">
        <v>81</v>
      </c>
      <c r="T35" s="552"/>
      <c r="U35" s="1129">
        <v>1629800000</v>
      </c>
    </row>
    <row r="36" spans="2:21" s="519" customFormat="1" ht="16.5" customHeight="1">
      <c r="B36" s="542"/>
      <c r="C36" s="380"/>
      <c r="D36" s="33"/>
      <c r="E36" s="543"/>
      <c r="F36" s="543"/>
      <c r="G36" s="545"/>
      <c r="H36" s="390"/>
      <c r="I36" s="78"/>
      <c r="J36" s="57"/>
      <c r="K36" s="78"/>
      <c r="L36" s="57"/>
      <c r="M36" s="78"/>
      <c r="N36" s="57"/>
      <c r="O36" s="78"/>
      <c r="P36" s="553"/>
      <c r="Q36" s="554"/>
      <c r="R36" s="403"/>
      <c r="S36" s="404"/>
      <c r="T36" s="552"/>
      <c r="U36" s="1129">
        <f>U35/U34</f>
        <v>6431.7284925019731</v>
      </c>
    </row>
    <row r="37" spans="2:21" s="519" customFormat="1" ht="16.5" customHeight="1">
      <c r="B37" s="542"/>
      <c r="C37" s="380"/>
      <c r="D37" s="33">
        <f>RAB!D31</f>
        <v>3</v>
      </c>
      <c r="E37" s="543" t="str">
        <f>RAB!E31</f>
        <v>Pasir Urug</v>
      </c>
      <c r="F37" s="543"/>
      <c r="G37" s="545"/>
      <c r="H37" s="390"/>
      <c r="I37" s="78"/>
      <c r="J37" s="57"/>
      <c r="K37" s="78"/>
      <c r="L37" s="57"/>
      <c r="M37" s="78"/>
      <c r="N37" s="57"/>
      <c r="O37" s="78"/>
      <c r="P37" s="61"/>
      <c r="Q37" s="59"/>
      <c r="R37" s="29">
        <f>P40</f>
        <v>323.07499999999999</v>
      </c>
      <c r="S37" s="68" t="s">
        <v>81</v>
      </c>
      <c r="T37" s="552"/>
      <c r="U37" s="1129"/>
    </row>
    <row r="38" spans="2:21" s="519" customFormat="1" ht="16.5" customHeight="1">
      <c r="B38" s="542"/>
      <c r="C38" s="380"/>
      <c r="D38" s="33"/>
      <c r="E38" s="543"/>
      <c r="F38" s="543"/>
      <c r="G38" s="545" t="s">
        <v>456</v>
      </c>
      <c r="H38" s="440">
        <f>P49</f>
        <v>410</v>
      </c>
      <c r="I38" s="78" t="s">
        <v>49</v>
      </c>
      <c r="J38" s="57">
        <v>0.15</v>
      </c>
      <c r="K38" s="78" t="s">
        <v>49</v>
      </c>
      <c r="L38" s="57">
        <v>0.05</v>
      </c>
      <c r="M38" s="78"/>
      <c r="N38" s="57"/>
      <c r="O38" s="78" t="s">
        <v>50</v>
      </c>
      <c r="P38" s="61">
        <f>H38*J38*L38</f>
        <v>3.0750000000000002</v>
      </c>
      <c r="Q38" s="413" t="s">
        <v>81</v>
      </c>
      <c r="R38" s="403"/>
      <c r="S38" s="404"/>
      <c r="T38" s="552"/>
      <c r="U38" s="1129"/>
    </row>
    <row r="39" spans="2:21" s="519" customFormat="1" ht="16.5" customHeight="1">
      <c r="B39" s="542"/>
      <c r="C39" s="380"/>
      <c r="D39" s="33"/>
      <c r="E39" s="543"/>
      <c r="F39" s="543"/>
      <c r="G39" s="545" t="s">
        <v>457</v>
      </c>
      <c r="H39" s="440">
        <f>P29</f>
        <v>6400</v>
      </c>
      <c r="I39" s="78" t="s">
        <v>49</v>
      </c>
      <c r="J39" s="57">
        <v>1</v>
      </c>
      <c r="K39" s="78" t="s">
        <v>49</v>
      </c>
      <c r="L39" s="57">
        <v>0.05</v>
      </c>
      <c r="M39" s="78"/>
      <c r="N39" s="57"/>
      <c r="O39" s="78" t="s">
        <v>50</v>
      </c>
      <c r="P39" s="61">
        <f>H39*J39*L39</f>
        <v>320</v>
      </c>
      <c r="Q39" s="413" t="s">
        <v>81</v>
      </c>
      <c r="R39" s="403"/>
      <c r="S39" s="404"/>
      <c r="T39" s="552"/>
      <c r="U39" s="1129"/>
    </row>
    <row r="40" spans="2:21" s="519" customFormat="1" ht="16.5" customHeight="1">
      <c r="B40" s="542"/>
      <c r="C40" s="380"/>
      <c r="D40" s="33"/>
      <c r="E40" s="543"/>
      <c r="F40" s="543"/>
      <c r="G40" s="545"/>
      <c r="H40" s="390"/>
      <c r="I40" s="78"/>
      <c r="J40" s="57"/>
      <c r="K40" s="78"/>
      <c r="L40" s="57"/>
      <c r="M40" s="78"/>
      <c r="N40" s="57"/>
      <c r="O40" s="78"/>
      <c r="P40" s="61">
        <f>SUM(P38:P39)</f>
        <v>323.07499999999999</v>
      </c>
      <c r="Q40" s="413"/>
      <c r="R40" s="403"/>
      <c r="S40" s="404"/>
      <c r="T40" s="552"/>
      <c r="U40" s="1129"/>
    </row>
    <row r="41" spans="2:21" s="519" customFormat="1" ht="16.5" customHeight="1">
      <c r="B41" s="542"/>
      <c r="C41" s="380"/>
      <c r="D41" s="33">
        <f>RAB!D32</f>
        <v>4</v>
      </c>
      <c r="E41" s="543" t="str">
        <f>RAB!E32</f>
        <v>Pas. Paving block Baru</v>
      </c>
      <c r="F41" s="543"/>
      <c r="G41" s="545"/>
      <c r="H41" s="391">
        <f>L33</f>
        <v>6400</v>
      </c>
      <c r="I41" s="78" t="s">
        <v>49</v>
      </c>
      <c r="J41" s="734">
        <f>J31</f>
        <v>0.6</v>
      </c>
      <c r="K41" s="78"/>
      <c r="L41" s="57"/>
      <c r="M41" s="78"/>
      <c r="N41" s="57"/>
      <c r="O41" s="78" t="s">
        <v>50</v>
      </c>
      <c r="P41" s="61">
        <f>H41*J41</f>
        <v>3840</v>
      </c>
      <c r="Q41" s="413" t="s">
        <v>133</v>
      </c>
      <c r="R41" s="403">
        <f>P41</f>
        <v>3840</v>
      </c>
      <c r="S41" s="404" t="s">
        <v>133</v>
      </c>
      <c r="T41" s="552"/>
      <c r="U41" s="1129"/>
    </row>
    <row r="42" spans="2:21" s="519" customFormat="1" ht="16.5" customHeight="1">
      <c r="B42" s="542"/>
      <c r="C42" s="380"/>
      <c r="D42" s="33"/>
      <c r="E42" s="543"/>
      <c r="F42" s="543"/>
      <c r="G42" s="545"/>
      <c r="H42" s="391"/>
      <c r="I42" s="78"/>
      <c r="J42" s="57"/>
      <c r="K42" s="78"/>
      <c r="L42" s="57"/>
      <c r="M42" s="78"/>
      <c r="N42" s="57"/>
      <c r="O42" s="78"/>
      <c r="P42" s="61"/>
      <c r="Q42" s="413"/>
      <c r="R42" s="403"/>
      <c r="S42" s="404"/>
      <c r="T42" s="552"/>
      <c r="U42" s="1129"/>
    </row>
    <row r="43" spans="2:21" s="519" customFormat="1" ht="16.5" customHeight="1">
      <c r="B43" s="542"/>
      <c r="C43" s="380"/>
      <c r="D43" s="33">
        <f>RAB!D33</f>
        <v>5</v>
      </c>
      <c r="E43" s="543" t="str">
        <f>RAB!E33</f>
        <v>Pas. Kembali Paving block Lama</v>
      </c>
      <c r="F43" s="543"/>
      <c r="G43" s="545"/>
      <c r="H43" s="391">
        <f>L33</f>
        <v>6400</v>
      </c>
      <c r="I43" s="78" t="s">
        <v>49</v>
      </c>
      <c r="J43" s="734">
        <f>J32</f>
        <v>0.4</v>
      </c>
      <c r="K43" s="78"/>
      <c r="L43" s="57"/>
      <c r="M43" s="78"/>
      <c r="N43" s="57"/>
      <c r="O43" s="78" t="s">
        <v>50</v>
      </c>
      <c r="P43" s="61">
        <f>H43*J43</f>
        <v>2560</v>
      </c>
      <c r="Q43" s="413" t="s">
        <v>133</v>
      </c>
      <c r="R43" s="403">
        <f>P43</f>
        <v>2560</v>
      </c>
      <c r="S43" s="404" t="s">
        <v>133</v>
      </c>
      <c r="T43" s="552"/>
      <c r="U43" s="1129"/>
    </row>
    <row r="44" spans="2:21" s="519" customFormat="1" ht="16.5" customHeight="1">
      <c r="B44" s="542"/>
      <c r="C44" s="380"/>
      <c r="D44" s="33"/>
      <c r="E44" s="543"/>
      <c r="F44" s="543"/>
      <c r="G44" s="545"/>
      <c r="H44" s="391"/>
      <c r="I44" s="78"/>
      <c r="J44" s="57"/>
      <c r="K44" s="78"/>
      <c r="L44" s="57"/>
      <c r="M44" s="78"/>
      <c r="N44" s="57"/>
      <c r="O44" s="78"/>
      <c r="P44" s="61"/>
      <c r="Q44" s="59"/>
      <c r="R44" s="403"/>
      <c r="S44" s="404"/>
      <c r="T44" s="552"/>
      <c r="U44" s="1129"/>
    </row>
    <row r="45" spans="2:21" s="519" customFormat="1" ht="16.5" customHeight="1">
      <c r="B45" s="542"/>
      <c r="C45" s="380"/>
      <c r="D45" s="33">
        <f>RAB!D34</f>
        <v>6</v>
      </c>
      <c r="E45" s="543" t="str">
        <f>RAB!E34</f>
        <v>Beton Pengunci Beton Cor f’c = 7,4 Mpa</v>
      </c>
      <c r="F45" s="543"/>
      <c r="G45" s="545"/>
      <c r="H45" s="440">
        <f>P49</f>
        <v>410</v>
      </c>
      <c r="I45" s="78" t="s">
        <v>49</v>
      </c>
      <c r="J45" s="57">
        <v>0.15</v>
      </c>
      <c r="K45" s="78" t="s">
        <v>49</v>
      </c>
      <c r="L45" s="57">
        <v>0.1</v>
      </c>
      <c r="M45" s="78"/>
      <c r="N45" s="57"/>
      <c r="O45" s="78" t="s">
        <v>50</v>
      </c>
      <c r="P45" s="61">
        <f>H45*J45*L45</f>
        <v>6.15</v>
      </c>
      <c r="Q45" s="413" t="s">
        <v>81</v>
      </c>
      <c r="R45" s="403">
        <f>P45</f>
        <v>6.15</v>
      </c>
      <c r="S45" s="404" t="s">
        <v>81</v>
      </c>
      <c r="T45" s="552"/>
      <c r="U45" s="1129"/>
    </row>
    <row r="46" spans="2:21" s="519" customFormat="1" ht="16.5" customHeight="1">
      <c r="B46" s="542"/>
      <c r="C46" s="380"/>
      <c r="D46" s="33"/>
      <c r="E46" s="543"/>
      <c r="F46" s="543"/>
      <c r="G46" s="545"/>
      <c r="H46" s="390"/>
      <c r="I46" s="78"/>
      <c r="J46" s="57"/>
      <c r="K46" s="78"/>
      <c r="L46" s="57"/>
      <c r="M46" s="78"/>
      <c r="N46" s="57"/>
      <c r="O46" s="78"/>
      <c r="P46" s="61"/>
      <c r="Q46" s="59"/>
      <c r="R46" s="403"/>
      <c r="S46" s="404"/>
      <c r="T46" s="552"/>
      <c r="U46" s="1129"/>
    </row>
    <row r="47" spans="2:21" s="519" customFormat="1" ht="16.5" customHeight="1">
      <c r="B47" s="549"/>
      <c r="C47" s="465" t="str">
        <f>RAB!C37</f>
        <v>II</v>
      </c>
      <c r="D47" s="382" t="str">
        <f>RAB!D37</f>
        <v>PEKERJAAN KANSTIN</v>
      </c>
      <c r="E47" s="550"/>
      <c r="F47" s="550"/>
      <c r="G47" s="551"/>
      <c r="H47" s="400"/>
      <c r="I47" s="385"/>
      <c r="J47" s="389"/>
      <c r="K47" s="385"/>
      <c r="L47" s="389"/>
      <c r="M47" s="385"/>
      <c r="N47" s="389"/>
      <c r="O47" s="385"/>
      <c r="P47" s="466"/>
      <c r="Q47" s="467"/>
      <c r="R47" s="386"/>
      <c r="S47" s="387"/>
      <c r="U47" s="1129"/>
    </row>
    <row r="48" spans="2:21" s="519" customFormat="1" ht="16.5" customHeight="1">
      <c r="B48" s="542"/>
      <c r="C48" s="380"/>
      <c r="D48" s="33">
        <f>RAB!D38</f>
        <v>1</v>
      </c>
      <c r="E48" s="543" t="str">
        <f>RAB!E38</f>
        <v>Galian Tanah Kanstin</v>
      </c>
      <c r="F48" s="543"/>
      <c r="G48" s="545"/>
      <c r="R48" s="403">
        <f>P50</f>
        <v>20.5</v>
      </c>
      <c r="S48" s="404" t="s">
        <v>81</v>
      </c>
      <c r="T48" s="552"/>
      <c r="U48" s="1129"/>
    </row>
    <row r="49" spans="2:21" s="519" customFormat="1" ht="16.5" customHeight="1">
      <c r="B49" s="542"/>
      <c r="C49" s="380"/>
      <c r="D49" s="33"/>
      <c r="E49" s="543"/>
      <c r="F49" s="543"/>
      <c r="G49" s="545"/>
      <c r="H49" s="443" t="s">
        <v>390</v>
      </c>
      <c r="I49" s="78"/>
      <c r="J49" s="57"/>
      <c r="K49" s="78"/>
      <c r="L49" s="57"/>
      <c r="M49" s="78"/>
      <c r="N49" s="57"/>
      <c r="O49" s="78" t="s">
        <v>50</v>
      </c>
      <c r="P49" s="444">
        <v>410</v>
      </c>
      <c r="Q49" s="59" t="s">
        <v>21</v>
      </c>
      <c r="R49" s="403"/>
      <c r="S49" s="404"/>
      <c r="T49" s="552"/>
      <c r="U49" s="1129">
        <f>REKAP!$J$37</f>
        <v>0</v>
      </c>
    </row>
    <row r="50" spans="2:21" s="519" customFormat="1" ht="16.5" customHeight="1">
      <c r="B50" s="542"/>
      <c r="C50" s="732"/>
      <c r="D50" s="33"/>
      <c r="E50" s="543"/>
      <c r="F50" s="543"/>
      <c r="G50" s="545"/>
      <c r="H50" s="440">
        <f>P49</f>
        <v>410</v>
      </c>
      <c r="I50" s="78" t="s">
        <v>49</v>
      </c>
      <c r="J50" s="57">
        <v>0.25</v>
      </c>
      <c r="K50" s="78" t="s">
        <v>49</v>
      </c>
      <c r="L50" s="57">
        <v>0.2</v>
      </c>
      <c r="M50" s="78"/>
      <c r="N50" s="57"/>
      <c r="O50" s="78" t="s">
        <v>50</v>
      </c>
      <c r="P50" s="61">
        <f>H50*J50*L50</f>
        <v>20.5</v>
      </c>
      <c r="Q50" s="413" t="s">
        <v>81</v>
      </c>
      <c r="R50" s="403"/>
      <c r="S50" s="404"/>
      <c r="T50" s="552"/>
      <c r="U50" s="1129"/>
    </row>
    <row r="51" spans="2:21" s="519" customFormat="1" ht="16.5" customHeight="1">
      <c r="B51" s="542"/>
      <c r="C51" s="380"/>
      <c r="D51" s="33"/>
      <c r="E51" s="543"/>
      <c r="F51" s="543"/>
      <c r="G51" s="545"/>
      <c r="H51" s="390"/>
      <c r="I51" s="78"/>
      <c r="J51" s="57"/>
      <c r="K51" s="78"/>
      <c r="L51" s="57"/>
      <c r="M51" s="78"/>
      <c r="N51" s="57"/>
      <c r="O51" s="78"/>
      <c r="P51" s="61"/>
      <c r="Q51" s="59"/>
      <c r="R51" s="403"/>
      <c r="S51" s="404"/>
      <c r="T51" s="552"/>
      <c r="U51" s="1129"/>
    </row>
    <row r="52" spans="2:21" s="519" customFormat="1" ht="16.5" customHeight="1">
      <c r="B52" s="542"/>
      <c r="C52" s="380"/>
      <c r="D52" s="33">
        <f>RAB!D39</f>
        <v>2</v>
      </c>
      <c r="E52" s="543" t="str">
        <f>RAB!E39</f>
        <v>Lantai Kerja Beton Cor f’c = 7,4 Mpa</v>
      </c>
      <c r="F52" s="543"/>
      <c r="G52" s="548"/>
      <c r="H52" s="390"/>
      <c r="I52" s="78"/>
      <c r="J52" s="57"/>
      <c r="K52" s="79"/>
      <c r="L52" s="60"/>
      <c r="M52" s="79"/>
      <c r="N52" s="60"/>
      <c r="O52" s="78"/>
      <c r="P52" s="61"/>
      <c r="Q52" s="59"/>
      <c r="R52" s="403">
        <f>P54</f>
        <v>3.0750000000000002</v>
      </c>
      <c r="S52" s="404" t="s">
        <v>81</v>
      </c>
      <c r="T52" s="552"/>
      <c r="U52" s="1129"/>
    </row>
    <row r="53" spans="2:21" s="519" customFormat="1" ht="16.5" customHeight="1">
      <c r="B53" s="542"/>
      <c r="C53" s="380"/>
      <c r="D53" s="33"/>
      <c r="E53" s="543"/>
      <c r="F53" s="543"/>
      <c r="G53" s="545"/>
      <c r="H53" s="439" t="s">
        <v>51</v>
      </c>
      <c r="I53" s="441"/>
      <c r="J53" s="442" t="s">
        <v>226</v>
      </c>
      <c r="K53" s="441"/>
      <c r="L53" s="442" t="s">
        <v>392</v>
      </c>
      <c r="M53" s="78"/>
      <c r="N53" s="57"/>
      <c r="O53" s="78"/>
      <c r="P53" s="58"/>
      <c r="Q53" s="59"/>
      <c r="R53" s="403"/>
      <c r="S53" s="404"/>
      <c r="T53" s="552"/>
      <c r="U53" s="1129"/>
    </row>
    <row r="54" spans="2:21" s="519" customFormat="1" ht="16.5" customHeight="1">
      <c r="B54" s="542"/>
      <c r="C54" s="380"/>
      <c r="D54" s="33"/>
      <c r="E54" s="543"/>
      <c r="F54" s="543"/>
      <c r="G54" s="545" t="s">
        <v>391</v>
      </c>
      <c r="H54" s="440">
        <f>P49</f>
        <v>410</v>
      </c>
      <c r="I54" s="78" t="s">
        <v>49</v>
      </c>
      <c r="J54" s="57">
        <v>0.15</v>
      </c>
      <c r="K54" s="78" t="s">
        <v>49</v>
      </c>
      <c r="L54" s="57">
        <v>0.05</v>
      </c>
      <c r="M54" s="78"/>
      <c r="N54" s="57"/>
      <c r="O54" s="78" t="s">
        <v>50</v>
      </c>
      <c r="P54" s="61">
        <f>H54*J54*L54</f>
        <v>3.0750000000000002</v>
      </c>
      <c r="Q54" s="413" t="s">
        <v>81</v>
      </c>
      <c r="R54" s="403"/>
      <c r="S54" s="404"/>
      <c r="T54" s="552"/>
      <c r="U54" s="1129"/>
    </row>
    <row r="55" spans="2:21" s="519" customFormat="1" ht="16.5" customHeight="1">
      <c r="B55" s="542"/>
      <c r="C55" s="380"/>
      <c r="D55" s="33"/>
      <c r="E55" s="543"/>
      <c r="F55" s="543"/>
      <c r="G55" s="548"/>
      <c r="H55" s="390"/>
      <c r="I55" s="78"/>
      <c r="J55" s="57"/>
      <c r="K55" s="79"/>
      <c r="L55" s="60"/>
      <c r="M55" s="79"/>
      <c r="N55" s="60"/>
      <c r="O55" s="78"/>
      <c r="P55" s="61"/>
      <c r="Q55" s="59"/>
      <c r="R55" s="403"/>
      <c r="S55" s="404"/>
      <c r="T55" s="552"/>
      <c r="U55" s="1129"/>
    </row>
    <row r="56" spans="2:21" s="519" customFormat="1" ht="16.5" customHeight="1">
      <c r="B56" s="542"/>
      <c r="C56" s="380"/>
      <c r="D56" s="33">
        <f>RAB!D40</f>
        <v>3</v>
      </c>
      <c r="E56" s="543" t="str">
        <f>RAB!E40</f>
        <v>Kanstin Pas. Bata 1:4</v>
      </c>
      <c r="F56" s="543"/>
      <c r="G56" s="548"/>
      <c r="H56" s="440">
        <v>150</v>
      </c>
      <c r="I56" s="78" t="s">
        <v>49</v>
      </c>
      <c r="J56" s="57">
        <v>0.3</v>
      </c>
      <c r="K56" s="78"/>
      <c r="L56" s="57"/>
      <c r="M56" s="78"/>
      <c r="N56" s="57"/>
      <c r="O56" s="78" t="s">
        <v>50</v>
      </c>
      <c r="P56" s="61">
        <f>H56*J56</f>
        <v>45</v>
      </c>
      <c r="Q56" s="413" t="s">
        <v>133</v>
      </c>
      <c r="R56" s="29">
        <f>P56</f>
        <v>45</v>
      </c>
      <c r="S56" s="68" t="s">
        <v>133</v>
      </c>
      <c r="T56" s="552"/>
      <c r="U56" s="1129"/>
    </row>
    <row r="57" spans="2:21" s="519" customFormat="1" ht="16.5" customHeight="1">
      <c r="B57" s="542"/>
      <c r="C57" s="380"/>
      <c r="D57" s="33"/>
      <c r="E57" s="543"/>
      <c r="F57" s="543"/>
      <c r="G57" s="548"/>
      <c r="H57" s="391"/>
      <c r="I57" s="79"/>
      <c r="J57" s="60"/>
      <c r="K57" s="79"/>
      <c r="L57" s="60"/>
      <c r="M57" s="79"/>
      <c r="N57" s="60"/>
      <c r="O57" s="79"/>
      <c r="P57" s="61"/>
      <c r="Q57" s="59"/>
      <c r="R57" s="403"/>
      <c r="S57" s="404"/>
      <c r="T57" s="552"/>
      <c r="U57" s="1129"/>
    </row>
    <row r="58" spans="2:21" s="519" customFormat="1" ht="16.5" customHeight="1">
      <c r="B58" s="542"/>
      <c r="C58" s="380"/>
      <c r="D58" s="33">
        <f>RAB!D41</f>
        <v>4</v>
      </c>
      <c r="E58" s="543" t="str">
        <f>RAB!E41</f>
        <v>Plesteran 1:4</v>
      </c>
      <c r="F58" s="543"/>
      <c r="G58" s="548"/>
      <c r="H58" s="440">
        <f>P49</f>
        <v>410</v>
      </c>
      <c r="I58" s="78" t="s">
        <v>49</v>
      </c>
      <c r="J58" s="57">
        <f>J56-L50</f>
        <v>9.9999999999999978E-2</v>
      </c>
      <c r="K58" s="78" t="s">
        <v>49</v>
      </c>
      <c r="L58" s="57">
        <v>2</v>
      </c>
      <c r="M58" s="78"/>
      <c r="N58" s="57"/>
      <c r="O58" s="78" t="s">
        <v>50</v>
      </c>
      <c r="P58" s="61">
        <f>H58*J58*L58</f>
        <v>81.999999999999986</v>
      </c>
      <c r="Q58" s="413" t="s">
        <v>133</v>
      </c>
      <c r="R58" s="403">
        <f>P58</f>
        <v>81.999999999999986</v>
      </c>
      <c r="S58" s="406" t="s">
        <v>133</v>
      </c>
      <c r="T58" s="552"/>
      <c r="U58" s="1129"/>
    </row>
    <row r="59" spans="2:21" s="519" customFormat="1" ht="16.5" customHeight="1">
      <c r="B59" s="542"/>
      <c r="C59" s="380"/>
      <c r="D59" s="33"/>
      <c r="E59" s="555"/>
      <c r="F59" s="543"/>
      <c r="G59" s="545"/>
      <c r="H59" s="391"/>
      <c r="R59" s="403"/>
      <c r="S59" s="556"/>
      <c r="T59" s="552"/>
      <c r="U59" s="1129"/>
    </row>
    <row r="60" spans="2:21" s="519" customFormat="1" ht="16.5" customHeight="1">
      <c r="B60" s="542"/>
      <c r="C60" s="15"/>
      <c r="D60" s="33">
        <f>RAB!D42</f>
        <v>5</v>
      </c>
      <c r="E60" s="543" t="str">
        <f>RAB!E42</f>
        <v>Cat Tembok Kanstin</v>
      </c>
      <c r="F60" s="543"/>
      <c r="G60" s="545"/>
      <c r="H60" s="391"/>
      <c r="I60" s="78"/>
      <c r="J60" s="60"/>
      <c r="K60" s="78"/>
      <c r="L60" s="57"/>
      <c r="M60" s="78"/>
      <c r="N60" s="57"/>
      <c r="O60" s="78"/>
      <c r="P60" s="58"/>
      <c r="Q60" s="59"/>
      <c r="R60" s="403">
        <f>B!R58</f>
        <v>81.999999999999986</v>
      </c>
      <c r="S60" s="404" t="s">
        <v>133</v>
      </c>
      <c r="T60" s="552"/>
      <c r="U60" s="1129"/>
    </row>
    <row r="61" spans="2:21" s="519" customFormat="1" ht="16.5" customHeight="1">
      <c r="B61" s="542"/>
      <c r="C61" s="380"/>
      <c r="D61" s="33"/>
      <c r="E61" s="543"/>
      <c r="F61" s="543"/>
      <c r="G61" s="545"/>
      <c r="H61" s="391"/>
      <c r="I61" s="78"/>
      <c r="J61" s="57"/>
      <c r="K61" s="78"/>
      <c r="L61" s="57"/>
      <c r="M61" s="78"/>
      <c r="N61" s="57"/>
      <c r="O61" s="78"/>
      <c r="P61" s="61"/>
      <c r="Q61" s="413"/>
      <c r="R61" s="403"/>
      <c r="S61" s="404"/>
      <c r="T61" s="552"/>
      <c r="U61" s="1129"/>
    </row>
    <row r="77" spans="2:21" ht="16.5" customHeight="1">
      <c r="F77" s="559"/>
      <c r="H77" s="62"/>
      <c r="R77" s="428"/>
      <c r="S77" s="561"/>
      <c r="T77" s="562"/>
    </row>
    <row r="78" spans="2:21" s="519" customFormat="1" ht="16.2">
      <c r="B78" s="185"/>
      <c r="C78" s="73"/>
      <c r="D78" s="73"/>
      <c r="E78" s="44"/>
      <c r="F78" s="185"/>
      <c r="G78" s="564"/>
      <c r="H78" s="394"/>
      <c r="I78" s="431"/>
      <c r="J78" s="394"/>
      <c r="K78" s="431"/>
      <c r="L78" s="394"/>
      <c r="M78" s="431"/>
      <c r="N78" s="394"/>
      <c r="O78" s="431"/>
      <c r="P78" s="431"/>
      <c r="Q78" s="394"/>
      <c r="R78" s="432"/>
      <c r="S78" s="565"/>
      <c r="T78" s="552"/>
      <c r="U78" s="1134"/>
    </row>
    <row r="79" spans="2:21" s="519" customFormat="1" ht="16.2">
      <c r="B79" s="185"/>
      <c r="C79" s="73"/>
      <c r="D79" s="73"/>
      <c r="E79" s="44"/>
      <c r="F79" s="167"/>
      <c r="G79" s="566"/>
      <c r="H79" s="394"/>
      <c r="I79" s="431"/>
      <c r="J79" s="394"/>
      <c r="K79" s="431"/>
      <c r="L79" s="394"/>
      <c r="M79" s="431"/>
      <c r="N79" s="394"/>
      <c r="O79" s="431"/>
      <c r="P79" s="434"/>
      <c r="Q79" s="435"/>
      <c r="R79" s="567"/>
      <c r="S79" s="308"/>
      <c r="T79" s="552"/>
      <c r="U79" s="1134"/>
    </row>
    <row r="80" spans="2:21" s="519" customFormat="1" ht="16.2">
      <c r="B80" s="185"/>
      <c r="C80" s="73"/>
      <c r="D80" s="73"/>
      <c r="E80" s="17"/>
      <c r="F80" s="566"/>
      <c r="G80" s="163"/>
      <c r="H80" s="394"/>
      <c r="I80" s="431"/>
      <c r="J80" s="394"/>
      <c r="K80" s="431"/>
      <c r="L80" s="394"/>
      <c r="M80" s="431"/>
      <c r="N80" s="394"/>
      <c r="O80" s="431"/>
      <c r="P80" s="434"/>
      <c r="Q80" s="435"/>
      <c r="R80" s="567"/>
      <c r="S80" s="308"/>
      <c r="T80" s="552"/>
      <c r="U80" s="1134"/>
    </row>
    <row r="81" spans="2:21" s="519" customFormat="1" ht="16.2">
      <c r="B81" s="185"/>
      <c r="C81" s="73"/>
      <c r="D81" s="73"/>
      <c r="E81" s="17"/>
      <c r="F81" s="566"/>
      <c r="G81" s="270"/>
      <c r="H81" s="394"/>
      <c r="I81" s="431"/>
      <c r="J81" s="394"/>
      <c r="K81" s="431"/>
      <c r="L81" s="394"/>
      <c r="M81" s="431"/>
      <c r="N81" s="394"/>
      <c r="O81" s="431"/>
      <c r="P81" s="434"/>
      <c r="Q81" s="435"/>
      <c r="R81" s="567"/>
      <c r="S81" s="308"/>
      <c r="T81" s="552"/>
      <c r="U81" s="1134"/>
    </row>
    <row r="82" spans="2:21" s="519" customFormat="1" ht="16.2">
      <c r="B82" s="270"/>
      <c r="C82" s="73"/>
      <c r="D82" s="73"/>
      <c r="E82" s="17"/>
      <c r="F82" s="185"/>
      <c r="G82" s="270"/>
      <c r="H82" s="394"/>
      <c r="I82" s="431"/>
      <c r="J82" s="394"/>
      <c r="K82" s="431"/>
      <c r="L82" s="394"/>
      <c r="M82" s="431"/>
      <c r="N82" s="394"/>
      <c r="O82" s="431"/>
      <c r="P82" s="431"/>
      <c r="Q82" s="435"/>
      <c r="R82" s="567"/>
      <c r="S82" s="308"/>
      <c r="T82" s="552"/>
      <c r="U82" s="1134"/>
    </row>
    <row r="83" spans="2:21" s="519" customFormat="1" ht="16.2">
      <c r="B83" s="185"/>
      <c r="C83" s="73"/>
      <c r="D83" s="73"/>
      <c r="E83" s="17"/>
      <c r="F83" s="568"/>
      <c r="G83" s="270"/>
      <c r="H83" s="394"/>
      <c r="I83" s="431"/>
      <c r="J83" s="394"/>
      <c r="K83" s="431"/>
      <c r="L83" s="394"/>
      <c r="M83" s="431"/>
      <c r="N83" s="394"/>
      <c r="O83" s="431"/>
      <c r="P83" s="434"/>
      <c r="Q83" s="435"/>
      <c r="R83" s="567"/>
      <c r="S83" s="308"/>
      <c r="T83" s="552"/>
      <c r="U83" s="1134"/>
    </row>
    <row r="84" spans="2:21" s="519" customFormat="1" ht="16.2">
      <c r="B84" s="185"/>
      <c r="C84" s="73"/>
      <c r="D84" s="73"/>
      <c r="E84" s="16"/>
      <c r="F84" s="185"/>
      <c r="G84" s="569"/>
      <c r="H84" s="394"/>
      <c r="I84" s="431"/>
      <c r="J84" s="394"/>
      <c r="K84" s="431"/>
      <c r="L84" s="394"/>
      <c r="M84" s="431"/>
      <c r="N84" s="394"/>
      <c r="O84" s="431"/>
      <c r="P84" s="434"/>
      <c r="Q84" s="435"/>
      <c r="R84" s="567"/>
      <c r="S84" s="308"/>
      <c r="T84" s="552"/>
      <c r="U84" s="1134"/>
    </row>
    <row r="85" spans="2:21" s="519" customFormat="1" ht="16.2">
      <c r="B85" s="185"/>
      <c r="C85" s="73"/>
      <c r="D85" s="73"/>
      <c r="E85" s="45"/>
      <c r="F85" s="185"/>
      <c r="G85" s="270"/>
      <c r="H85" s="394"/>
      <c r="I85" s="431"/>
      <c r="J85" s="394"/>
      <c r="K85" s="431"/>
      <c r="L85" s="394"/>
      <c r="M85" s="431"/>
      <c r="N85" s="394"/>
      <c r="O85" s="431"/>
      <c r="P85" s="434"/>
      <c r="Q85" s="435"/>
      <c r="R85" s="567"/>
      <c r="S85" s="308"/>
      <c r="T85" s="552"/>
      <c r="U85" s="1134"/>
    </row>
    <row r="86" spans="2:21">
      <c r="H86" s="62"/>
      <c r="R86" s="428"/>
      <c r="S86" s="561"/>
      <c r="T86" s="562"/>
    </row>
    <row r="87" spans="2:21">
      <c r="H87" s="62"/>
      <c r="R87" s="428"/>
      <c r="S87" s="561"/>
      <c r="T87" s="562"/>
    </row>
    <row r="88" spans="2:21">
      <c r="H88" s="62"/>
      <c r="R88" s="428"/>
      <c r="S88" s="561"/>
      <c r="T88" s="562"/>
    </row>
    <row r="89" spans="2:21">
      <c r="H89" s="62"/>
      <c r="R89" s="428"/>
      <c r="S89" s="561"/>
      <c r="T89" s="562"/>
    </row>
    <row r="90" spans="2:21">
      <c r="H90" s="62"/>
      <c r="R90" s="428"/>
      <c r="S90" s="561"/>
      <c r="T90" s="562"/>
    </row>
    <row r="91" spans="2:21">
      <c r="H91" s="62"/>
      <c r="R91" s="428"/>
      <c r="S91" s="561"/>
      <c r="T91" s="562"/>
    </row>
    <row r="92" spans="2:21">
      <c r="H92" s="62"/>
      <c r="R92" s="428"/>
      <c r="S92" s="561"/>
      <c r="T92" s="562"/>
    </row>
    <row r="93" spans="2:21">
      <c r="H93" s="62"/>
      <c r="R93" s="428"/>
      <c r="S93" s="561"/>
      <c r="T93" s="562"/>
    </row>
    <row r="94" spans="2:21">
      <c r="H94" s="62"/>
      <c r="R94" s="428"/>
      <c r="S94" s="561"/>
      <c r="T94" s="562"/>
    </row>
    <row r="95" spans="2:21">
      <c r="H95" s="62"/>
      <c r="R95" s="428"/>
      <c r="S95" s="561"/>
      <c r="T95" s="562"/>
    </row>
    <row r="96" spans="2:21">
      <c r="H96" s="62"/>
      <c r="R96" s="428"/>
      <c r="S96" s="561"/>
      <c r="T96" s="562"/>
    </row>
    <row r="97" spans="8:20">
      <c r="H97" s="62"/>
      <c r="R97" s="428"/>
      <c r="S97" s="561"/>
      <c r="T97" s="562"/>
    </row>
    <row r="98" spans="8:20">
      <c r="H98" s="62"/>
      <c r="R98" s="428"/>
      <c r="S98" s="561"/>
      <c r="T98" s="562"/>
    </row>
    <row r="99" spans="8:20">
      <c r="H99" s="62"/>
      <c r="R99" s="428"/>
      <c r="S99" s="561"/>
      <c r="T99" s="562"/>
    </row>
    <row r="100" spans="8:20">
      <c r="H100" s="62"/>
      <c r="R100" s="428"/>
      <c r="S100" s="561"/>
      <c r="T100" s="562"/>
    </row>
    <row r="101" spans="8:20">
      <c r="H101" s="62"/>
      <c r="R101" s="428"/>
      <c r="S101" s="561"/>
      <c r="T101" s="562"/>
    </row>
    <row r="102" spans="8:20">
      <c r="H102" s="62"/>
      <c r="R102" s="428"/>
      <c r="S102" s="561"/>
      <c r="T102" s="562"/>
    </row>
    <row r="103" spans="8:20">
      <c r="H103" s="62"/>
      <c r="R103" s="428"/>
      <c r="S103" s="561"/>
      <c r="T103" s="562"/>
    </row>
    <row r="104" spans="8:20">
      <c r="H104" s="62"/>
      <c r="R104" s="428"/>
      <c r="S104" s="561"/>
      <c r="T104" s="562"/>
    </row>
    <row r="105" spans="8:20">
      <c r="H105" s="62"/>
      <c r="R105" s="428"/>
      <c r="S105" s="561"/>
      <c r="T105" s="562"/>
    </row>
    <row r="106" spans="8:20">
      <c r="H106" s="62"/>
      <c r="R106" s="428"/>
      <c r="S106" s="561"/>
      <c r="T106" s="562"/>
    </row>
    <row r="107" spans="8:20">
      <c r="H107" s="62"/>
      <c r="R107" s="428"/>
      <c r="S107" s="561"/>
      <c r="T107" s="562"/>
    </row>
    <row r="108" spans="8:20">
      <c r="H108" s="62"/>
      <c r="R108" s="428"/>
      <c r="S108" s="561"/>
      <c r="T108" s="562"/>
    </row>
    <row r="109" spans="8:20">
      <c r="H109" s="62"/>
      <c r="R109" s="428"/>
      <c r="S109" s="561"/>
      <c r="T109" s="562"/>
    </row>
    <row r="110" spans="8:20">
      <c r="H110" s="62"/>
      <c r="R110" s="428"/>
      <c r="S110" s="561"/>
      <c r="T110" s="562"/>
    </row>
    <row r="111" spans="8:20">
      <c r="H111" s="62"/>
      <c r="R111" s="428"/>
      <c r="S111" s="561"/>
      <c r="T111" s="562"/>
    </row>
    <row r="112" spans="8:20">
      <c r="H112" s="62"/>
      <c r="R112" s="428"/>
      <c r="S112" s="561"/>
      <c r="T112" s="562"/>
    </row>
    <row r="113" spans="8:20">
      <c r="H113" s="62"/>
      <c r="R113" s="428"/>
      <c r="S113" s="561"/>
      <c r="T113" s="562"/>
    </row>
    <row r="114" spans="8:20">
      <c r="H114" s="62"/>
      <c r="R114" s="428"/>
      <c r="S114" s="561"/>
      <c r="T114" s="562"/>
    </row>
    <row r="115" spans="8:20">
      <c r="H115" s="62"/>
      <c r="R115" s="428"/>
      <c r="S115" s="561"/>
      <c r="T115" s="562"/>
    </row>
    <row r="116" spans="8:20">
      <c r="H116" s="62"/>
      <c r="R116" s="428"/>
      <c r="S116" s="561"/>
      <c r="T116" s="562"/>
    </row>
    <row r="117" spans="8:20">
      <c r="H117" s="62"/>
      <c r="R117" s="428"/>
      <c r="S117" s="561"/>
      <c r="T117" s="562"/>
    </row>
    <row r="118" spans="8:20">
      <c r="H118" s="62"/>
      <c r="R118" s="428"/>
      <c r="S118" s="561"/>
      <c r="T118" s="562"/>
    </row>
    <row r="119" spans="8:20">
      <c r="H119" s="62"/>
      <c r="R119" s="428"/>
      <c r="S119" s="561"/>
      <c r="T119" s="562"/>
    </row>
    <row r="120" spans="8:20">
      <c r="H120" s="62"/>
      <c r="R120" s="428"/>
      <c r="S120" s="561"/>
      <c r="T120" s="562"/>
    </row>
    <row r="121" spans="8:20">
      <c r="H121" s="62"/>
      <c r="R121" s="428"/>
      <c r="S121" s="561"/>
      <c r="T121" s="562"/>
    </row>
    <row r="122" spans="8:20">
      <c r="H122" s="62"/>
      <c r="R122" s="428"/>
      <c r="S122" s="561"/>
      <c r="T122" s="562"/>
    </row>
    <row r="123" spans="8:20">
      <c r="H123" s="62"/>
      <c r="R123" s="428"/>
      <c r="S123" s="561"/>
      <c r="T123" s="562"/>
    </row>
    <row r="124" spans="8:20">
      <c r="H124" s="62"/>
      <c r="R124" s="428"/>
      <c r="S124" s="561"/>
      <c r="T124" s="562"/>
    </row>
    <row r="125" spans="8:20">
      <c r="H125" s="62"/>
      <c r="R125" s="428"/>
      <c r="S125" s="561"/>
      <c r="T125" s="562"/>
    </row>
    <row r="126" spans="8:20">
      <c r="H126" s="62"/>
      <c r="R126" s="428"/>
      <c r="S126" s="561"/>
      <c r="T126" s="562"/>
    </row>
    <row r="127" spans="8:20">
      <c r="H127" s="62"/>
      <c r="R127" s="428"/>
      <c r="S127" s="561"/>
      <c r="T127" s="562"/>
    </row>
    <row r="128" spans="8:20">
      <c r="H128" s="62"/>
      <c r="R128" s="428"/>
      <c r="S128" s="561"/>
      <c r="T128" s="562"/>
    </row>
    <row r="129" spans="8:20">
      <c r="H129" s="62"/>
      <c r="R129" s="428"/>
      <c r="S129" s="561"/>
      <c r="T129" s="562"/>
    </row>
    <row r="130" spans="8:20">
      <c r="H130" s="62"/>
      <c r="R130" s="428"/>
      <c r="S130" s="561"/>
      <c r="T130" s="562"/>
    </row>
    <row r="131" spans="8:20">
      <c r="H131" s="62"/>
      <c r="R131" s="428"/>
      <c r="S131" s="561"/>
      <c r="T131" s="562"/>
    </row>
    <row r="132" spans="8:20">
      <c r="H132" s="62"/>
      <c r="R132" s="428"/>
      <c r="S132" s="561"/>
      <c r="T132" s="562"/>
    </row>
    <row r="133" spans="8:20">
      <c r="H133" s="62"/>
      <c r="R133" s="428"/>
      <c r="S133" s="561"/>
      <c r="T133" s="562"/>
    </row>
    <row r="134" spans="8:20">
      <c r="H134" s="62"/>
      <c r="R134" s="428"/>
      <c r="S134" s="561"/>
      <c r="T134" s="562"/>
    </row>
    <row r="135" spans="8:20">
      <c r="H135" s="62"/>
      <c r="R135" s="428"/>
      <c r="S135" s="561"/>
      <c r="T135" s="562"/>
    </row>
    <row r="136" spans="8:20">
      <c r="H136" s="62"/>
      <c r="R136" s="428"/>
      <c r="S136" s="561"/>
      <c r="T136" s="562"/>
    </row>
    <row r="137" spans="8:20">
      <c r="H137" s="62"/>
      <c r="R137" s="428"/>
      <c r="S137" s="561"/>
      <c r="T137" s="562"/>
    </row>
    <row r="138" spans="8:20">
      <c r="H138" s="62"/>
      <c r="R138" s="428"/>
      <c r="S138" s="561"/>
      <c r="T138" s="562"/>
    </row>
    <row r="139" spans="8:20">
      <c r="H139" s="62"/>
      <c r="R139" s="428"/>
      <c r="S139" s="561"/>
      <c r="T139" s="562"/>
    </row>
    <row r="140" spans="8:20">
      <c r="H140" s="62"/>
      <c r="R140" s="428"/>
      <c r="S140" s="561"/>
      <c r="T140" s="562"/>
    </row>
    <row r="141" spans="8:20">
      <c r="H141" s="62"/>
      <c r="R141" s="428"/>
      <c r="S141" s="561"/>
      <c r="T141" s="562"/>
    </row>
    <row r="142" spans="8:20">
      <c r="H142" s="62"/>
      <c r="R142" s="428"/>
      <c r="S142" s="561"/>
      <c r="T142" s="562"/>
    </row>
    <row r="143" spans="8:20">
      <c r="H143" s="62"/>
      <c r="R143" s="428"/>
      <c r="S143" s="561"/>
      <c r="T143" s="562"/>
    </row>
    <row r="144" spans="8:20">
      <c r="H144" s="62"/>
      <c r="R144" s="428"/>
      <c r="S144" s="561"/>
      <c r="T144" s="562"/>
    </row>
    <row r="145" spans="8:20">
      <c r="H145" s="62"/>
      <c r="R145" s="428"/>
      <c r="S145" s="561"/>
      <c r="T145" s="562"/>
    </row>
    <row r="146" spans="8:20">
      <c r="H146" s="62"/>
      <c r="R146" s="428"/>
      <c r="S146" s="561"/>
      <c r="T146" s="562"/>
    </row>
    <row r="147" spans="8:20">
      <c r="H147" s="62"/>
      <c r="R147" s="428"/>
      <c r="S147" s="561"/>
      <c r="T147" s="562"/>
    </row>
    <row r="148" spans="8:20">
      <c r="H148" s="62"/>
      <c r="R148" s="428"/>
      <c r="S148" s="561"/>
      <c r="T148" s="562"/>
    </row>
    <row r="149" spans="8:20">
      <c r="H149" s="62"/>
      <c r="R149" s="428"/>
      <c r="S149" s="561"/>
      <c r="T149" s="562"/>
    </row>
    <row r="150" spans="8:20">
      <c r="H150" s="62"/>
      <c r="R150" s="428"/>
      <c r="S150" s="561"/>
      <c r="T150" s="562"/>
    </row>
    <row r="151" spans="8:20">
      <c r="H151" s="62"/>
      <c r="R151" s="428"/>
      <c r="S151" s="561"/>
      <c r="T151" s="562"/>
    </row>
    <row r="152" spans="8:20">
      <c r="H152" s="62"/>
      <c r="R152" s="428"/>
      <c r="S152" s="561"/>
      <c r="T152" s="562"/>
    </row>
    <row r="153" spans="8:20">
      <c r="H153" s="62"/>
      <c r="R153" s="428"/>
      <c r="S153" s="561"/>
      <c r="T153" s="562"/>
    </row>
    <row r="154" spans="8:20">
      <c r="H154" s="62"/>
      <c r="R154" s="428"/>
      <c r="S154" s="561"/>
      <c r="T154" s="562"/>
    </row>
    <row r="155" spans="8:20">
      <c r="H155" s="62"/>
      <c r="R155" s="428"/>
      <c r="S155" s="561"/>
      <c r="T155" s="562"/>
    </row>
    <row r="156" spans="8:20">
      <c r="H156" s="62"/>
      <c r="R156" s="428"/>
      <c r="S156" s="561"/>
      <c r="T156" s="562"/>
    </row>
    <row r="157" spans="8:20">
      <c r="H157" s="62"/>
      <c r="R157" s="428"/>
      <c r="S157" s="561"/>
      <c r="T157" s="562"/>
    </row>
    <row r="158" spans="8:20">
      <c r="H158" s="62"/>
      <c r="R158" s="428"/>
      <c r="S158" s="561"/>
      <c r="T158" s="562"/>
    </row>
    <row r="159" spans="8:20">
      <c r="H159" s="62"/>
      <c r="R159" s="428"/>
      <c r="S159" s="561"/>
      <c r="T159" s="562"/>
    </row>
    <row r="160" spans="8:20">
      <c r="H160" s="62"/>
      <c r="R160" s="428"/>
      <c r="S160" s="561"/>
      <c r="T160" s="562"/>
    </row>
    <row r="161" spans="8:20">
      <c r="H161" s="62"/>
      <c r="R161" s="428"/>
      <c r="S161" s="561"/>
      <c r="T161" s="562"/>
    </row>
    <row r="162" spans="8:20">
      <c r="H162" s="62"/>
      <c r="R162" s="428"/>
      <c r="S162" s="561"/>
      <c r="T162" s="562"/>
    </row>
    <row r="163" spans="8:20">
      <c r="H163" s="62"/>
      <c r="R163" s="428"/>
      <c r="S163" s="561"/>
      <c r="T163" s="562"/>
    </row>
    <row r="164" spans="8:20">
      <c r="H164" s="62"/>
      <c r="R164" s="428"/>
      <c r="S164" s="561"/>
      <c r="T164" s="562"/>
    </row>
    <row r="165" spans="8:20">
      <c r="H165" s="62"/>
      <c r="R165" s="428"/>
      <c r="S165" s="561"/>
      <c r="T165" s="562"/>
    </row>
    <row r="166" spans="8:20">
      <c r="H166" s="62"/>
      <c r="R166" s="428"/>
      <c r="S166" s="561"/>
      <c r="T166" s="562"/>
    </row>
    <row r="167" spans="8:20">
      <c r="H167" s="62"/>
      <c r="R167" s="428"/>
      <c r="S167" s="561"/>
      <c r="T167" s="562"/>
    </row>
    <row r="168" spans="8:20">
      <c r="H168" s="62"/>
      <c r="R168" s="428"/>
      <c r="S168" s="561"/>
      <c r="T168" s="562"/>
    </row>
    <row r="169" spans="8:20">
      <c r="H169" s="62"/>
      <c r="R169" s="428"/>
      <c r="S169" s="561"/>
      <c r="T169" s="562"/>
    </row>
    <row r="170" spans="8:20">
      <c r="H170" s="62"/>
      <c r="R170" s="428"/>
      <c r="S170" s="561"/>
      <c r="T170" s="562"/>
    </row>
    <row r="373" spans="5:5">
      <c r="E373" s="558" t="s">
        <v>850</v>
      </c>
    </row>
    <row r="374" spans="5:5">
      <c r="E374" s="746" t="s">
        <v>851</v>
      </c>
    </row>
    <row r="375" spans="5:5">
      <c r="E375" s="746"/>
    </row>
    <row r="376" spans="5:5">
      <c r="E376" s="746"/>
    </row>
  </sheetData>
  <mergeCells count="5">
    <mergeCell ref="B3:S3"/>
    <mergeCell ref="C12:G12"/>
    <mergeCell ref="H12:Q12"/>
    <mergeCell ref="C13:G13"/>
    <mergeCell ref="H13:Q13"/>
  </mergeCells>
  <printOptions horizontalCentered="1"/>
  <pageMargins left="0.78740157480314965" right="0.59055118110236227" top="0.59055118110236227" bottom="0.59055118110236227" header="0.51181102362204722" footer="0.39370078740157483"/>
  <pageSetup paperSize="9" scale="61" orientation="portrait" horizontalDpi="4294967293" verticalDpi="4294967293" r:id="rId1"/>
  <headerFooter alignWithMargins="0">
    <oddFooter>&amp;C&amp;9&amp;P/&amp;N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3:U402"/>
  <sheetViews>
    <sheetView view="pageBreakPreview" topLeftCell="A42" zoomScale="80" zoomScaleNormal="90" zoomScaleSheetLayoutView="80" workbookViewId="0">
      <selection activeCell="G63" sqref="G63"/>
    </sheetView>
  </sheetViews>
  <sheetFormatPr defaultColWidth="9.21875" defaultRowHeight="15.6"/>
  <cols>
    <col min="1" max="1" width="9.21875" style="563"/>
    <col min="2" max="2" width="4.5546875" style="557" customWidth="1"/>
    <col min="3" max="4" width="4.77734375" style="75" customWidth="1"/>
    <col min="5" max="5" width="10.21875" style="558" customWidth="1"/>
    <col min="6" max="6" width="2" style="557" customWidth="1"/>
    <col min="7" max="7" width="38.77734375" style="560" customWidth="1"/>
    <col min="8" max="8" width="10.21875" style="402" customWidth="1"/>
    <col min="9" max="9" width="3.21875" style="80" customWidth="1"/>
    <col min="10" max="10" width="10.21875" style="62" customWidth="1"/>
    <col min="11" max="11" width="3.21875" style="80" customWidth="1"/>
    <col min="12" max="12" width="10.21875" style="62" customWidth="1"/>
    <col min="13" max="13" width="3.21875" style="80" customWidth="1"/>
    <col min="14" max="14" width="10.21875" style="62" customWidth="1"/>
    <col min="15" max="15" width="3.21875" style="80" customWidth="1"/>
    <col min="16" max="16" width="10.77734375" style="63" customWidth="1"/>
    <col min="17" max="17" width="5.77734375" style="62" customWidth="1"/>
    <col min="18" max="18" width="10.77734375" style="43" customWidth="1"/>
    <col min="19" max="19" width="7.21875" style="570" customWidth="1"/>
    <col min="20" max="20" width="9.21875" style="563"/>
    <col min="21" max="21" width="15.77734375" style="563" customWidth="1"/>
    <col min="22" max="16384" width="9.21875" style="563"/>
  </cols>
  <sheetData>
    <row r="3" spans="2:19" s="516" customFormat="1" ht="25.2">
      <c r="B3" s="1233" t="s">
        <v>389</v>
      </c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1233"/>
      <c r="R3" s="1233"/>
      <c r="S3" s="1233"/>
    </row>
    <row r="4" spans="2:19" s="516" customFormat="1" ht="25.2">
      <c r="B4" s="388"/>
      <c r="C4" s="388"/>
      <c r="D4" s="388"/>
      <c r="E4" s="388"/>
      <c r="F4" s="388"/>
      <c r="G4" s="388"/>
      <c r="H4" s="395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</row>
    <row r="5" spans="2:19" s="516" customFormat="1" ht="25.2">
      <c r="B5" s="388"/>
      <c r="C5" s="388"/>
      <c r="D5" s="388"/>
      <c r="E5" s="388"/>
      <c r="F5" s="388"/>
      <c r="G5" s="388"/>
      <c r="H5" s="395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2:19" s="516" customFormat="1" ht="20.399999999999999">
      <c r="B6" s="159" t="s">
        <v>384</v>
      </c>
      <c r="C6" s="167"/>
      <c r="D6" s="149"/>
      <c r="E6" s="185"/>
      <c r="F6" s="159" t="s">
        <v>26</v>
      </c>
      <c r="G6" s="159" t="s">
        <v>380</v>
      </c>
      <c r="H6" s="396"/>
      <c r="I6" s="76"/>
      <c r="J6" s="49"/>
      <c r="K6" s="76"/>
      <c r="L6" s="49"/>
      <c r="M6" s="76"/>
      <c r="N6" s="49"/>
      <c r="O6" s="76"/>
      <c r="P6" s="49"/>
      <c r="Q6" s="50"/>
      <c r="R6" s="28"/>
      <c r="S6" s="517"/>
    </row>
    <row r="7" spans="2:19" s="519" customFormat="1" ht="16.2">
      <c r="B7" s="167" t="s">
        <v>385</v>
      </c>
      <c r="C7" s="167"/>
      <c r="D7" s="149"/>
      <c r="E7" s="185"/>
      <c r="F7" s="159" t="s">
        <v>26</v>
      </c>
      <c r="G7" s="159" t="s">
        <v>377</v>
      </c>
      <c r="H7" s="397"/>
      <c r="I7" s="52"/>
      <c r="J7" s="51"/>
      <c r="K7" s="52"/>
      <c r="L7" s="51"/>
      <c r="M7" s="52"/>
      <c r="N7" s="51"/>
      <c r="O7" s="52"/>
      <c r="P7" s="52"/>
      <c r="Q7" s="51"/>
      <c r="R7" s="38"/>
      <c r="S7" s="518"/>
    </row>
    <row r="8" spans="2:19" s="519" customFormat="1" ht="16.2">
      <c r="B8" s="167" t="s">
        <v>388</v>
      </c>
      <c r="C8" s="167"/>
      <c r="D8" s="149"/>
      <c r="E8" s="185"/>
      <c r="F8" s="159" t="s">
        <v>26</v>
      </c>
      <c r="G8" s="185" t="s">
        <v>375</v>
      </c>
      <c r="H8" s="397"/>
      <c r="I8" s="52"/>
      <c r="J8" s="51"/>
      <c r="K8" s="52"/>
      <c r="L8" s="51"/>
      <c r="M8" s="52"/>
      <c r="N8" s="51"/>
      <c r="O8" s="52"/>
      <c r="P8" s="52"/>
      <c r="Q8" s="51"/>
      <c r="R8" s="38"/>
      <c r="S8" s="518"/>
    </row>
    <row r="9" spans="2:19" s="519" customFormat="1">
      <c r="B9" s="167" t="s">
        <v>386</v>
      </c>
      <c r="C9" s="167"/>
      <c r="D9" s="149"/>
      <c r="E9" s="185"/>
      <c r="F9" s="159" t="s">
        <v>26</v>
      </c>
      <c r="G9" s="160" t="s">
        <v>376</v>
      </c>
      <c r="H9" s="397"/>
      <c r="I9" s="52"/>
      <c r="J9" s="51"/>
      <c r="K9" s="52"/>
      <c r="L9" s="51"/>
      <c r="M9" s="52"/>
      <c r="N9" s="51"/>
      <c r="O9" s="52"/>
      <c r="P9" s="52"/>
      <c r="Q9" s="51"/>
      <c r="R9" s="38"/>
      <c r="S9" s="167"/>
    </row>
    <row r="10" spans="2:19" s="519" customFormat="1">
      <c r="B10" s="167" t="s">
        <v>387</v>
      </c>
      <c r="C10" s="167"/>
      <c r="D10" s="149"/>
      <c r="E10" s="185"/>
      <c r="F10" s="159" t="s">
        <v>26</v>
      </c>
      <c r="G10" s="167" t="s">
        <v>348</v>
      </c>
      <c r="H10" s="397"/>
      <c r="I10" s="52"/>
      <c r="J10" s="51"/>
      <c r="K10" s="52"/>
      <c r="L10" s="51"/>
      <c r="M10" s="52"/>
      <c r="N10" s="51"/>
      <c r="O10" s="52"/>
      <c r="P10" s="52"/>
      <c r="Q10" s="51"/>
      <c r="R10" s="38"/>
      <c r="S10" s="167"/>
    </row>
    <row r="11" spans="2:19" s="519" customFormat="1" ht="16.2" thickBot="1">
      <c r="B11" s="185"/>
      <c r="C11" s="73"/>
      <c r="D11" s="73"/>
      <c r="E11" s="167"/>
      <c r="F11" s="185"/>
      <c r="G11" s="520"/>
      <c r="H11" s="397"/>
      <c r="I11" s="52"/>
      <c r="J11" s="51"/>
      <c r="K11" s="52"/>
      <c r="L11" s="51"/>
      <c r="M11" s="52"/>
      <c r="N11" s="51"/>
      <c r="O11" s="52"/>
      <c r="P11" s="53"/>
      <c r="Q11" s="51"/>
      <c r="R11" s="39"/>
      <c r="S11" s="521"/>
    </row>
    <row r="12" spans="2:19" s="524" customFormat="1" ht="16.2" thickTop="1">
      <c r="B12" s="522" t="s">
        <v>0</v>
      </c>
      <c r="C12" s="1194" t="s">
        <v>24</v>
      </c>
      <c r="D12" s="1195"/>
      <c r="E12" s="1195"/>
      <c r="F12" s="1195"/>
      <c r="G12" s="1196"/>
      <c r="H12" s="1234" t="s">
        <v>68</v>
      </c>
      <c r="I12" s="1235"/>
      <c r="J12" s="1235"/>
      <c r="K12" s="1235"/>
      <c r="L12" s="1235"/>
      <c r="M12" s="1235"/>
      <c r="N12" s="1235"/>
      <c r="O12" s="1235"/>
      <c r="P12" s="1235"/>
      <c r="Q12" s="1235"/>
      <c r="R12" s="338" t="s">
        <v>54</v>
      </c>
      <c r="S12" s="523" t="s">
        <v>40</v>
      </c>
    </row>
    <row r="13" spans="2:19" s="519" customFormat="1" ht="16.2" thickBot="1">
      <c r="B13" s="525" t="s">
        <v>9</v>
      </c>
      <c r="C13" s="1236" t="s">
        <v>10</v>
      </c>
      <c r="D13" s="1237"/>
      <c r="E13" s="1237"/>
      <c r="F13" s="1237"/>
      <c r="G13" s="1238"/>
      <c r="H13" s="1239" t="s">
        <v>11</v>
      </c>
      <c r="I13" s="1240"/>
      <c r="J13" s="1240"/>
      <c r="K13" s="1240"/>
      <c r="L13" s="1240"/>
      <c r="M13" s="1240"/>
      <c r="N13" s="1240"/>
      <c r="O13" s="1240"/>
      <c r="P13" s="1240"/>
      <c r="Q13" s="1240"/>
      <c r="R13" s="336" t="s">
        <v>12</v>
      </c>
      <c r="S13" s="526" t="s">
        <v>13</v>
      </c>
    </row>
    <row r="14" spans="2:19" s="519" customFormat="1" ht="16.2" thickTop="1">
      <c r="B14" s="527"/>
      <c r="C14" s="74"/>
      <c r="D14" s="377"/>
      <c r="E14" s="528"/>
      <c r="F14" s="529"/>
      <c r="G14" s="530"/>
      <c r="H14" s="398"/>
      <c r="I14" s="77"/>
      <c r="J14" s="54"/>
      <c r="K14" s="77"/>
      <c r="L14" s="54"/>
      <c r="M14" s="77"/>
      <c r="N14" s="54"/>
      <c r="O14" s="77"/>
      <c r="P14" s="55"/>
      <c r="Q14" s="56"/>
      <c r="R14" s="40"/>
      <c r="S14" s="531"/>
    </row>
    <row r="15" spans="2:19" s="541" customFormat="1" ht="19.350000000000001" customHeight="1">
      <c r="B15" s="537" t="str">
        <f>RAB!B46</f>
        <v>C</v>
      </c>
      <c r="C15" s="469" t="str">
        <f>RAB!C46</f>
        <v>PEKERJAAN DRAINASE</v>
      </c>
      <c r="D15" s="470"/>
      <c r="E15" s="538"/>
      <c r="F15" s="538"/>
      <c r="G15" s="539"/>
      <c r="H15" s="473"/>
      <c r="I15" s="474"/>
      <c r="J15" s="475"/>
      <c r="K15" s="474"/>
      <c r="L15" s="475"/>
      <c r="M15" s="474"/>
      <c r="N15" s="475"/>
      <c r="O15" s="540"/>
      <c r="P15" s="540"/>
      <c r="Q15" s="540"/>
      <c r="R15" s="477"/>
      <c r="S15" s="478"/>
    </row>
    <row r="16" spans="2:19" s="519" customFormat="1" ht="16.5" customHeight="1">
      <c r="B16" s="549"/>
      <c r="C16" s="465" t="str">
        <f>RAB!C47</f>
        <v>I</v>
      </c>
      <c r="D16" s="382" t="str">
        <f>RAB!D47</f>
        <v>PEKERJAAN DRAINASE TYPE 1 - U.DITCH</v>
      </c>
      <c r="E16" s="550"/>
      <c r="F16" s="550"/>
      <c r="G16" s="551"/>
      <c r="H16" s="400"/>
      <c r="I16" s="385"/>
      <c r="J16" s="389"/>
      <c r="K16" s="385"/>
      <c r="L16" s="389"/>
      <c r="M16" s="385"/>
      <c r="N16" s="389"/>
      <c r="O16" s="385"/>
      <c r="P16" s="466"/>
      <c r="Q16" s="467"/>
      <c r="R16" s="386"/>
      <c r="S16" s="387"/>
    </row>
    <row r="17" spans="1:21" s="519" customFormat="1" ht="16.5" customHeight="1">
      <c r="B17" s="542"/>
      <c r="C17" s="380"/>
      <c r="D17" s="33"/>
      <c r="E17" s="543"/>
      <c r="F17" s="543"/>
      <c r="G17" s="545" t="s">
        <v>458</v>
      </c>
      <c r="H17" s="391">
        <v>120</v>
      </c>
      <c r="I17" s="78"/>
      <c r="J17" s="57"/>
      <c r="K17" s="78"/>
      <c r="L17" s="57"/>
      <c r="M17" s="78"/>
      <c r="N17" s="57"/>
      <c r="O17" s="78"/>
      <c r="P17" s="61"/>
      <c r="Q17" s="413"/>
      <c r="R17" s="403"/>
      <c r="S17" s="404"/>
      <c r="T17" s="552"/>
    </row>
    <row r="18" spans="1:21" s="519" customFormat="1" ht="16.5" customHeight="1">
      <c r="B18" s="542"/>
      <c r="C18" s="380"/>
      <c r="D18" s="33"/>
      <c r="E18" s="543"/>
      <c r="F18" s="543"/>
      <c r="G18" s="545" t="s">
        <v>447</v>
      </c>
      <c r="H18" s="391">
        <v>0.6</v>
      </c>
      <c r="I18" s="78"/>
      <c r="J18" s="57"/>
      <c r="K18" s="78"/>
      <c r="L18" s="57"/>
      <c r="M18" s="78"/>
      <c r="N18" s="57"/>
      <c r="O18" s="78"/>
      <c r="P18" s="61"/>
      <c r="Q18" s="413"/>
      <c r="R18" s="403"/>
      <c r="S18" s="404"/>
      <c r="T18" s="552"/>
    </row>
    <row r="19" spans="1:21" s="519" customFormat="1" ht="16.5" customHeight="1">
      <c r="B19" s="542"/>
      <c r="C19" s="380"/>
      <c r="D19" s="33"/>
      <c r="E19" s="543"/>
      <c r="F19" s="543"/>
      <c r="G19" s="545" t="s">
        <v>459</v>
      </c>
      <c r="H19" s="391">
        <v>0.5</v>
      </c>
      <c r="I19" s="78"/>
      <c r="J19" s="57"/>
      <c r="K19" s="78"/>
      <c r="L19" s="57"/>
      <c r="M19" s="78"/>
      <c r="N19" s="57"/>
      <c r="O19" s="78"/>
      <c r="P19" s="61"/>
      <c r="Q19" s="413"/>
      <c r="R19" s="403"/>
      <c r="S19" s="404"/>
      <c r="T19" s="552"/>
    </row>
    <row r="20" spans="1:21" s="519" customFormat="1" ht="16.5" customHeight="1">
      <c r="B20" s="542"/>
      <c r="C20" s="380"/>
      <c r="D20" s="33"/>
      <c r="E20" s="543"/>
      <c r="F20" s="543"/>
      <c r="G20" s="545"/>
      <c r="H20" s="391"/>
      <c r="I20" s="78"/>
      <c r="J20" s="57"/>
      <c r="K20" s="78"/>
      <c r="L20" s="57"/>
      <c r="M20" s="78"/>
      <c r="N20" s="57"/>
      <c r="O20" s="78"/>
      <c r="P20" s="61"/>
      <c r="Q20" s="413"/>
      <c r="R20" s="403"/>
      <c r="S20" s="404"/>
      <c r="T20" s="552"/>
    </row>
    <row r="21" spans="1:21" s="519" customFormat="1" ht="16.5" customHeight="1">
      <c r="B21" s="542"/>
      <c r="C21" s="380"/>
      <c r="D21" s="33">
        <f>RAB!D48</f>
        <v>1</v>
      </c>
      <c r="E21" s="543" t="str">
        <f>RAB!E48</f>
        <v>Galian Tanah</v>
      </c>
      <c r="F21" s="543"/>
      <c r="G21" s="545"/>
      <c r="H21" s="391">
        <f>H17</f>
        <v>120</v>
      </c>
      <c r="I21" s="78"/>
      <c r="J21" s="57">
        <v>0.65</v>
      </c>
      <c r="K21" s="78"/>
      <c r="L21" s="57">
        <v>1</v>
      </c>
      <c r="M21" s="78"/>
      <c r="N21" s="57"/>
      <c r="O21" s="78" t="s">
        <v>50</v>
      </c>
      <c r="P21" s="61">
        <f>H21*J21*L21</f>
        <v>78</v>
      </c>
      <c r="Q21" s="413"/>
      <c r="R21" s="403">
        <f>P21</f>
        <v>78</v>
      </c>
      <c r="S21" s="404" t="s">
        <v>81</v>
      </c>
      <c r="T21" s="552"/>
    </row>
    <row r="22" spans="1:21" s="519" customFormat="1" ht="16.5" customHeight="1">
      <c r="B22" s="542"/>
      <c r="C22" s="380"/>
      <c r="D22" s="33">
        <f>RAB!D49</f>
        <v>2</v>
      </c>
      <c r="E22" s="543" t="str">
        <f>RAB!E49</f>
        <v>Pasir Urug</v>
      </c>
      <c r="F22" s="543"/>
      <c r="G22" s="545"/>
      <c r="H22" s="391">
        <f>H17</f>
        <v>120</v>
      </c>
      <c r="I22" s="78"/>
      <c r="J22" s="57">
        <f>H19</f>
        <v>0.5</v>
      </c>
      <c r="K22" s="78"/>
      <c r="L22" s="57">
        <v>0.1</v>
      </c>
      <c r="M22" s="78"/>
      <c r="N22" s="57"/>
      <c r="O22" s="78" t="s">
        <v>50</v>
      </c>
      <c r="P22" s="61">
        <f>H22*J22*L22</f>
        <v>6</v>
      </c>
      <c r="Q22" s="413"/>
      <c r="R22" s="403">
        <f>P22</f>
        <v>6</v>
      </c>
      <c r="S22" s="404" t="s">
        <v>81</v>
      </c>
      <c r="T22" s="552"/>
    </row>
    <row r="23" spans="1:21" s="519" customFormat="1" ht="16.5" customHeight="1">
      <c r="B23" s="542"/>
      <c r="C23" s="380"/>
      <c r="D23" s="33">
        <f>RAB!D50</f>
        <v>3</v>
      </c>
      <c r="E23" s="543" t="str">
        <f>RAB!E50</f>
        <v>Lantai Kerja Beton Cor f’c = 7,4 Mpa</v>
      </c>
      <c r="F23" s="543"/>
      <c r="G23" s="545"/>
      <c r="H23" s="391">
        <f>H17</f>
        <v>120</v>
      </c>
      <c r="I23" s="78"/>
      <c r="J23" s="57">
        <f>H16+0.3</f>
        <v>0.3</v>
      </c>
      <c r="K23" s="78"/>
      <c r="L23" s="57">
        <v>0.05</v>
      </c>
      <c r="M23" s="78"/>
      <c r="N23" s="57"/>
      <c r="O23" s="78" t="s">
        <v>50</v>
      </c>
      <c r="P23" s="61">
        <f>H23*J23*L23</f>
        <v>1.8</v>
      </c>
      <c r="Q23" s="413"/>
      <c r="R23" s="403">
        <f>P23</f>
        <v>1.8</v>
      </c>
      <c r="S23" s="404" t="s">
        <v>81</v>
      </c>
      <c r="T23" s="552"/>
    </row>
    <row r="24" spans="1:21" s="519" customFormat="1" ht="16.5" customHeight="1">
      <c r="B24" s="542"/>
      <c r="C24" s="380"/>
      <c r="D24" s="33">
        <f>RAB!D51</f>
        <v>4</v>
      </c>
      <c r="E24" s="543" t="str">
        <f>RAB!E51</f>
        <v>Pas. U-Ditch 30x50x120cm - K350</v>
      </c>
      <c r="F24" s="543"/>
      <c r="G24" s="545"/>
      <c r="H24" s="391">
        <f>H17</f>
        <v>120</v>
      </c>
      <c r="I24" s="78" t="s">
        <v>53</v>
      </c>
      <c r="J24" s="57">
        <v>1.2</v>
      </c>
      <c r="K24" s="78"/>
      <c r="L24" s="57"/>
      <c r="M24" s="78"/>
      <c r="N24" s="57"/>
      <c r="O24" s="78" t="s">
        <v>50</v>
      </c>
      <c r="P24" s="61">
        <f>ROUNDUP(H24/J24,0.1)</f>
        <v>100</v>
      </c>
      <c r="Q24" s="413"/>
      <c r="R24" s="403">
        <f>P24</f>
        <v>100</v>
      </c>
      <c r="S24" s="404" t="s">
        <v>23</v>
      </c>
      <c r="T24" s="552"/>
    </row>
    <row r="25" spans="1:21" s="519" customFormat="1" ht="16.5" customHeight="1">
      <c r="B25" s="542"/>
      <c r="C25" s="380"/>
      <c r="D25" s="33">
        <f>RAB!D52</f>
        <v>5</v>
      </c>
      <c r="E25" s="543" t="str">
        <f>RAB!E52</f>
        <v>Pas. Penutup U-Ditch 30x60cm - K350</v>
      </c>
      <c r="F25" s="543"/>
      <c r="G25" s="545"/>
      <c r="H25" s="391">
        <f>P24</f>
        <v>100</v>
      </c>
      <c r="I25" s="78" t="s">
        <v>49</v>
      </c>
      <c r="J25" s="57">
        <v>2</v>
      </c>
      <c r="K25" s="78"/>
      <c r="L25" s="57"/>
      <c r="M25" s="78"/>
      <c r="N25" s="57"/>
      <c r="O25" s="78" t="s">
        <v>50</v>
      </c>
      <c r="P25" s="61">
        <f>H25*J25</f>
        <v>200</v>
      </c>
      <c r="Q25" s="413"/>
      <c r="R25" s="403">
        <f>P25</f>
        <v>200</v>
      </c>
      <c r="S25" s="404" t="s">
        <v>23</v>
      </c>
      <c r="T25" s="552"/>
    </row>
    <row r="26" spans="1:21" s="519" customFormat="1" ht="16.5" customHeight="1">
      <c r="B26" s="542"/>
      <c r="C26" s="380"/>
      <c r="D26" s="33"/>
      <c r="E26" s="543"/>
      <c r="F26" s="543"/>
      <c r="G26" s="545"/>
      <c r="H26" s="391"/>
      <c r="I26" s="78"/>
      <c r="J26" s="57"/>
      <c r="K26" s="78"/>
      <c r="L26" s="57"/>
      <c r="M26" s="78"/>
      <c r="N26" s="57"/>
      <c r="O26" s="78"/>
      <c r="P26" s="61"/>
      <c r="Q26" s="413"/>
      <c r="R26" s="403"/>
      <c r="S26" s="404"/>
      <c r="T26" s="552"/>
    </row>
    <row r="27" spans="1:21" s="519" customFormat="1" ht="16.5" customHeight="1">
      <c r="B27" s="542"/>
      <c r="C27" s="380" t="str">
        <f>RAB!C55</f>
        <v>II</v>
      </c>
      <c r="D27" s="33" t="str">
        <f>RAB!D55</f>
        <v xml:space="preserve">PEKERJAAN DRAINASE TYPE 2 </v>
      </c>
      <c r="E27" s="543"/>
      <c r="F27" s="543"/>
      <c r="G27" s="545"/>
      <c r="H27" s="391"/>
      <c r="I27" s="78"/>
      <c r="J27" s="57"/>
      <c r="K27" s="78"/>
      <c r="L27" s="57"/>
      <c r="M27" s="78"/>
      <c r="N27" s="57"/>
      <c r="O27" s="78"/>
      <c r="P27" s="61"/>
      <c r="Q27" s="413"/>
      <c r="R27" s="403"/>
      <c r="S27" s="404"/>
      <c r="T27" s="552"/>
    </row>
    <row r="28" spans="1:21" s="519" customFormat="1" ht="16.5" customHeight="1">
      <c r="B28" s="542"/>
      <c r="C28" s="380"/>
      <c r="D28" s="33"/>
      <c r="E28" s="543"/>
      <c r="F28" s="543"/>
      <c r="G28" s="545" t="s">
        <v>458</v>
      </c>
      <c r="H28" s="391">
        <v>80</v>
      </c>
      <c r="I28" s="78"/>
      <c r="J28" s="57"/>
      <c r="K28" s="78"/>
      <c r="L28" s="57"/>
      <c r="M28" s="78"/>
      <c r="N28" s="57"/>
      <c r="O28" s="78"/>
      <c r="P28" s="61"/>
      <c r="Q28" s="413"/>
      <c r="R28" s="403"/>
      <c r="S28" s="404"/>
      <c r="T28" s="552"/>
    </row>
    <row r="29" spans="1:21" s="519" customFormat="1" ht="16.5" customHeight="1">
      <c r="B29" s="542"/>
      <c r="C29" s="380"/>
      <c r="D29" s="33"/>
      <c r="E29" s="543"/>
      <c r="F29" s="543"/>
      <c r="G29" s="545" t="s">
        <v>447</v>
      </c>
      <c r="H29" s="391">
        <v>0.6</v>
      </c>
      <c r="I29" s="78"/>
      <c r="J29" s="57"/>
      <c r="K29" s="78"/>
      <c r="L29" s="57"/>
      <c r="M29" s="78"/>
      <c r="N29" s="57"/>
      <c r="O29" s="78"/>
      <c r="P29" s="61"/>
      <c r="Q29" s="413"/>
      <c r="R29" s="403"/>
      <c r="S29" s="404"/>
      <c r="T29" s="552"/>
      <c r="U29" s="1129">
        <f>REKAP!$J$37</f>
        <v>0</v>
      </c>
    </row>
    <row r="30" spans="1:21" s="519" customFormat="1" ht="16.5" customHeight="1">
      <c r="B30" s="542"/>
      <c r="C30" s="380"/>
      <c r="D30" s="33"/>
      <c r="E30" s="543"/>
      <c r="F30" s="543"/>
      <c r="G30" s="545" t="s">
        <v>459</v>
      </c>
      <c r="H30" s="391">
        <v>0.5</v>
      </c>
      <c r="I30" s="78"/>
      <c r="J30" s="57"/>
      <c r="K30" s="78"/>
      <c r="L30" s="57"/>
      <c r="M30" s="78"/>
      <c r="N30" s="57"/>
      <c r="O30" s="78"/>
      <c r="P30" s="61"/>
      <c r="Q30" s="413"/>
      <c r="R30" s="403"/>
      <c r="S30" s="404"/>
      <c r="T30" s="552"/>
      <c r="U30" s="1129"/>
    </row>
    <row r="31" spans="1:21" s="519" customFormat="1" ht="16.5" customHeight="1">
      <c r="B31" s="542"/>
      <c r="C31" s="380"/>
      <c r="D31" s="33"/>
      <c r="E31" s="543"/>
      <c r="F31" s="543"/>
      <c r="G31" s="545"/>
      <c r="H31" s="391"/>
      <c r="I31" s="78"/>
      <c r="J31" s="57"/>
      <c r="K31" s="78"/>
      <c r="L31" s="57"/>
      <c r="M31" s="78"/>
      <c r="N31" s="57"/>
      <c r="O31" s="78"/>
      <c r="P31" s="61"/>
      <c r="Q31" s="413"/>
      <c r="R31" s="403"/>
      <c r="S31" s="404"/>
      <c r="T31" s="552"/>
      <c r="U31" s="1129">
        <v>-103400000</v>
      </c>
    </row>
    <row r="32" spans="1:21" s="519" customFormat="1" ht="16.5" customHeight="1">
      <c r="A32" s="519" t="s">
        <v>802</v>
      </c>
      <c r="B32" s="542"/>
      <c r="C32" s="380">
        <f>RAB!C56</f>
        <v>0</v>
      </c>
      <c r="D32" s="33">
        <f>RAB!D56</f>
        <v>1</v>
      </c>
      <c r="E32" s="543" t="str">
        <f>RAB!E56</f>
        <v>Galian Tanah</v>
      </c>
      <c r="F32" s="543"/>
      <c r="G32" s="545"/>
      <c r="H32" s="391">
        <f>H28</f>
        <v>80</v>
      </c>
      <c r="I32" s="78"/>
      <c r="J32" s="57">
        <v>0.65</v>
      </c>
      <c r="K32" s="78"/>
      <c r="L32" s="57">
        <v>1</v>
      </c>
      <c r="M32" s="78"/>
      <c r="N32" s="57"/>
      <c r="O32" s="78" t="s">
        <v>50</v>
      </c>
      <c r="P32" s="61">
        <f>H32*J32*L32</f>
        <v>52</v>
      </c>
      <c r="Q32" s="413"/>
      <c r="R32" s="403">
        <f>P32</f>
        <v>52</v>
      </c>
      <c r="S32" s="404" t="s">
        <v>81</v>
      </c>
      <c r="T32" s="552"/>
      <c r="U32" s="1129">
        <v>16500000</v>
      </c>
    </row>
    <row r="33" spans="2:21" s="519" customFormat="1" ht="16.5" customHeight="1">
      <c r="B33" s="542"/>
      <c r="C33" s="380">
        <f>RAB!C57</f>
        <v>0</v>
      </c>
      <c r="D33" s="33">
        <f>RAB!D57</f>
        <v>2</v>
      </c>
      <c r="E33" s="543" t="str">
        <f>RAB!E57</f>
        <v>Pasir Urug</v>
      </c>
      <c r="F33" s="543"/>
      <c r="G33" s="545"/>
      <c r="H33" s="391">
        <f>H28</f>
        <v>80</v>
      </c>
      <c r="I33" s="78"/>
      <c r="J33" s="57">
        <f>H30</f>
        <v>0.5</v>
      </c>
      <c r="K33" s="78"/>
      <c r="L33" s="57">
        <v>0.1</v>
      </c>
      <c r="M33" s="78"/>
      <c r="N33" s="57"/>
      <c r="O33" s="78" t="s">
        <v>50</v>
      </c>
      <c r="P33" s="61">
        <f>H33*J33*L33</f>
        <v>4</v>
      </c>
      <c r="Q33" s="59"/>
      <c r="R33" s="403">
        <f>P33</f>
        <v>4</v>
      </c>
      <c r="S33" s="404" t="s">
        <v>81</v>
      </c>
      <c r="T33" s="552"/>
      <c r="U33" s="1129">
        <f>U32-U31</f>
        <v>119900000</v>
      </c>
    </row>
    <row r="34" spans="2:21" s="519" customFormat="1" ht="16.5" customHeight="1">
      <c r="B34" s="542"/>
      <c r="C34" s="380">
        <f>RAB!C58</f>
        <v>0</v>
      </c>
      <c r="D34" s="33">
        <f>RAB!D58</f>
        <v>3</v>
      </c>
      <c r="E34" s="543" t="str">
        <f>RAB!E58</f>
        <v>Lantai Kerja Beton Cor f’c = 7,4 Mpa</v>
      </c>
      <c r="F34" s="543"/>
      <c r="G34" s="545"/>
      <c r="H34" s="391">
        <f>H28</f>
        <v>80</v>
      </c>
      <c r="I34" s="78"/>
      <c r="J34" s="57">
        <f>H27+0.3</f>
        <v>0.3</v>
      </c>
      <c r="K34" s="78"/>
      <c r="L34" s="57">
        <v>0.05</v>
      </c>
      <c r="M34" s="78"/>
      <c r="N34" s="57"/>
      <c r="O34" s="78" t="s">
        <v>50</v>
      </c>
      <c r="P34" s="61">
        <f>H34*J34*L34</f>
        <v>1.2000000000000002</v>
      </c>
      <c r="Q34" s="59"/>
      <c r="R34" s="403">
        <f>P34</f>
        <v>1.2000000000000002</v>
      </c>
      <c r="S34" s="404" t="s">
        <v>23</v>
      </c>
      <c r="T34" s="552"/>
      <c r="U34" s="1129">
        <f>U33/100</f>
        <v>1199000</v>
      </c>
    </row>
    <row r="35" spans="2:21" s="519" customFormat="1" ht="16.5" customHeight="1">
      <c r="B35" s="542"/>
      <c r="C35" s="380">
        <f>RAB!C59</f>
        <v>0</v>
      </c>
      <c r="D35" s="33">
        <f>RAB!D59</f>
        <v>4</v>
      </c>
      <c r="E35" s="543" t="str">
        <f>RAB!E59</f>
        <v>Pas. U-Ditch 30x30x120cm - K350</v>
      </c>
      <c r="F35" s="543"/>
      <c r="G35" s="545"/>
      <c r="H35" s="391">
        <f>H28</f>
        <v>80</v>
      </c>
      <c r="I35" s="78" t="s">
        <v>53</v>
      </c>
      <c r="J35" s="57">
        <v>1.2</v>
      </c>
      <c r="K35" s="78"/>
      <c r="L35" s="57"/>
      <c r="M35" s="78"/>
      <c r="N35" s="57"/>
      <c r="O35" s="78" t="s">
        <v>50</v>
      </c>
      <c r="P35" s="61">
        <f>ROUNDUP(H35/J35,0.1)</f>
        <v>67</v>
      </c>
      <c r="Q35" s="413"/>
      <c r="R35" s="403">
        <f>P35</f>
        <v>67</v>
      </c>
      <c r="S35" s="404" t="s">
        <v>23</v>
      </c>
      <c r="T35" s="552"/>
      <c r="U35" s="1129">
        <v>103400000</v>
      </c>
    </row>
    <row r="36" spans="2:21" s="519" customFormat="1" ht="16.5" customHeight="1">
      <c r="B36" s="542"/>
      <c r="C36" s="380">
        <f>RAB!C60</f>
        <v>0</v>
      </c>
      <c r="D36" s="33">
        <f>RAB!D60</f>
        <v>5</v>
      </c>
      <c r="E36" s="543" t="str">
        <f>RAB!E60</f>
        <v>Pas. Penutup U-Ditch 30x60cm - K350</v>
      </c>
      <c r="F36" s="543"/>
      <c r="G36" s="545"/>
      <c r="H36" s="391">
        <f>P35</f>
        <v>67</v>
      </c>
      <c r="I36" s="78" t="s">
        <v>49</v>
      </c>
      <c r="J36" s="57">
        <v>2</v>
      </c>
      <c r="K36" s="78"/>
      <c r="L36" s="57"/>
      <c r="M36" s="78"/>
      <c r="N36" s="57"/>
      <c r="O36" s="78" t="s">
        <v>50</v>
      </c>
      <c r="P36" s="61">
        <f>H36*J36</f>
        <v>134</v>
      </c>
      <c r="Q36" s="413"/>
      <c r="R36" s="403">
        <f>P36</f>
        <v>134</v>
      </c>
      <c r="S36" s="404" t="s">
        <v>23</v>
      </c>
      <c r="T36" s="552"/>
      <c r="U36" s="1129">
        <f>U35/U34</f>
        <v>86.238532110091739</v>
      </c>
    </row>
    <row r="37" spans="2:21" s="519" customFormat="1" ht="16.5" customHeight="1">
      <c r="B37" s="542"/>
      <c r="C37" s="380">
        <f>RAB!C61</f>
        <v>0</v>
      </c>
      <c r="D37" s="33">
        <f>RAB!D61</f>
        <v>0</v>
      </c>
      <c r="E37" s="543"/>
      <c r="F37" s="543"/>
      <c r="G37" s="545"/>
      <c r="H37" s="391"/>
      <c r="I37" s="78"/>
      <c r="J37" s="57"/>
      <c r="K37" s="78"/>
      <c r="L37" s="57"/>
      <c r="M37" s="78"/>
      <c r="N37" s="57"/>
      <c r="O37" s="78"/>
      <c r="P37" s="61"/>
      <c r="Q37" s="413"/>
      <c r="R37" s="403"/>
      <c r="S37" s="404"/>
      <c r="T37" s="552"/>
    </row>
    <row r="38" spans="2:21" s="519" customFormat="1" ht="16.5" customHeight="1">
      <c r="B38" s="542"/>
      <c r="C38" s="380">
        <f>RAB!C62</f>
        <v>0</v>
      </c>
      <c r="D38" s="33">
        <f>RAB!D62</f>
        <v>0</v>
      </c>
      <c r="E38" s="543"/>
      <c r="F38" s="543"/>
      <c r="G38" s="545"/>
      <c r="H38" s="391"/>
      <c r="I38" s="78"/>
      <c r="J38" s="57"/>
      <c r="K38" s="78"/>
      <c r="L38" s="57"/>
      <c r="M38" s="78"/>
      <c r="N38" s="57"/>
      <c r="O38" s="78"/>
      <c r="P38" s="61"/>
      <c r="Q38" s="413"/>
      <c r="R38" s="403"/>
      <c r="S38" s="404"/>
      <c r="T38" s="552"/>
    </row>
    <row r="39" spans="2:21" s="519" customFormat="1" ht="16.5" customHeight="1">
      <c r="B39" s="542"/>
      <c r="C39" s="380" t="str">
        <f>RAB!C63</f>
        <v>III</v>
      </c>
      <c r="D39" s="33" t="str">
        <f>RAB!D63</f>
        <v>PEKERJAAN DRAINASE TYPE 3</v>
      </c>
      <c r="E39" s="543"/>
      <c r="F39" s="543"/>
      <c r="G39" s="545"/>
      <c r="H39" s="391"/>
      <c r="I39" s="78"/>
      <c r="J39" s="57"/>
      <c r="K39" s="78"/>
      <c r="L39" s="57"/>
      <c r="M39" s="78"/>
      <c r="N39" s="57"/>
      <c r="O39" s="78"/>
      <c r="P39" s="61"/>
      <c r="Q39" s="413"/>
      <c r="R39" s="403"/>
      <c r="S39" s="404"/>
      <c r="T39" s="552"/>
    </row>
    <row r="40" spans="2:21" s="519" customFormat="1" ht="16.5" customHeight="1">
      <c r="B40" s="542"/>
      <c r="C40" s="380"/>
      <c r="D40" s="33"/>
      <c r="E40" s="543"/>
      <c r="F40" s="543"/>
      <c r="G40" s="545" t="s">
        <v>458</v>
      </c>
      <c r="H40" s="391">
        <v>20</v>
      </c>
      <c r="I40" s="78"/>
      <c r="J40" s="57"/>
      <c r="K40" s="78"/>
      <c r="L40" s="57"/>
      <c r="M40" s="78"/>
      <c r="N40" s="57"/>
      <c r="O40" s="78"/>
      <c r="P40" s="61"/>
      <c r="Q40" s="413"/>
      <c r="R40" s="403"/>
      <c r="S40" s="404"/>
      <c r="T40" s="552"/>
    </row>
    <row r="41" spans="2:21" s="519" customFormat="1" ht="16.5" customHeight="1">
      <c r="B41" s="542"/>
      <c r="C41" s="380"/>
      <c r="D41" s="33"/>
      <c r="E41" s="543"/>
      <c r="F41" s="543"/>
      <c r="G41" s="545" t="s">
        <v>447</v>
      </c>
      <c r="H41" s="391">
        <v>0.6</v>
      </c>
      <c r="I41" s="78"/>
      <c r="J41" s="57"/>
      <c r="K41" s="78"/>
      <c r="L41" s="57"/>
      <c r="M41" s="78" t="s">
        <v>50</v>
      </c>
      <c r="N41" s="60">
        <f t="shared" ref="N41" si="0">SUM(H41:L41)</f>
        <v>0.6</v>
      </c>
      <c r="O41" s="78"/>
      <c r="P41" s="61"/>
      <c r="Q41" s="413"/>
      <c r="R41" s="403"/>
      <c r="S41" s="404"/>
      <c r="T41" s="552"/>
    </row>
    <row r="42" spans="2:21" s="519" customFormat="1" ht="16.5" customHeight="1">
      <c r="B42" s="542"/>
      <c r="C42" s="380"/>
      <c r="D42" s="33"/>
      <c r="E42" s="543"/>
      <c r="F42" s="543"/>
      <c r="G42" s="545" t="s">
        <v>459</v>
      </c>
      <c r="H42" s="391">
        <v>0.7</v>
      </c>
      <c r="I42" s="78" t="s">
        <v>49</v>
      </c>
      <c r="J42" s="57">
        <v>0.1</v>
      </c>
      <c r="K42" s="78" t="s">
        <v>49</v>
      </c>
      <c r="L42" s="57">
        <v>0.1</v>
      </c>
      <c r="M42" s="78" t="s">
        <v>50</v>
      </c>
      <c r="N42" s="60">
        <f>SUM(H42:L42)</f>
        <v>0.89999999999999991</v>
      </c>
      <c r="O42" s="78"/>
      <c r="P42" s="61"/>
      <c r="Q42" s="413"/>
      <c r="R42" s="403"/>
      <c r="S42" s="404"/>
      <c r="T42" s="552"/>
    </row>
    <row r="43" spans="2:21" s="519" customFormat="1" ht="16.5" customHeight="1">
      <c r="B43" s="542"/>
      <c r="C43" s="380"/>
      <c r="D43" s="33"/>
      <c r="E43" s="543"/>
      <c r="F43" s="543"/>
      <c r="G43" s="545"/>
      <c r="H43" s="390"/>
      <c r="I43" s="78"/>
      <c r="J43" s="57"/>
      <c r="K43" s="78"/>
      <c r="L43" s="57"/>
      <c r="M43" s="78"/>
      <c r="N43" s="57"/>
      <c r="O43" s="78"/>
      <c r="P43" s="61"/>
      <c r="Q43" s="413"/>
      <c r="R43" s="403"/>
      <c r="S43" s="404"/>
      <c r="T43" s="552"/>
    </row>
    <row r="44" spans="2:21" s="519" customFormat="1" ht="16.5" customHeight="1">
      <c r="B44" s="542"/>
      <c r="C44" s="380">
        <f>RAB!C64</f>
        <v>0</v>
      </c>
      <c r="D44" s="33">
        <f>RAB!D64</f>
        <v>1</v>
      </c>
      <c r="E44" s="543" t="str">
        <f>RAB!E64</f>
        <v>Galian Tanah</v>
      </c>
      <c r="F44" s="543"/>
      <c r="G44" s="545"/>
      <c r="H44" s="390">
        <f>H40</f>
        <v>20</v>
      </c>
      <c r="I44" s="78" t="s">
        <v>49</v>
      </c>
      <c r="J44" s="57">
        <f>N42</f>
        <v>0.89999999999999991</v>
      </c>
      <c r="K44" s="78" t="s">
        <v>49</v>
      </c>
      <c r="L44" s="57">
        <v>0.6</v>
      </c>
      <c r="M44" s="78"/>
      <c r="N44" s="57"/>
      <c r="O44" s="78" t="s">
        <v>50</v>
      </c>
      <c r="P44" s="61">
        <f>H44*J44*L44</f>
        <v>10.799999999999999</v>
      </c>
      <c r="Q44" s="413"/>
      <c r="R44" s="403">
        <f>P44</f>
        <v>10.799999999999999</v>
      </c>
      <c r="S44" s="404" t="s">
        <v>81</v>
      </c>
      <c r="T44" s="552"/>
    </row>
    <row r="45" spans="2:21" s="519" customFormat="1" ht="16.5" customHeight="1">
      <c r="B45" s="542"/>
      <c r="C45" s="15">
        <f>RAB!C65</f>
        <v>0</v>
      </c>
      <c r="D45" s="33">
        <f>RAB!D65</f>
        <v>2</v>
      </c>
      <c r="E45" s="543" t="str">
        <f>RAB!E65</f>
        <v>Pasir Urug</v>
      </c>
      <c r="F45" s="543"/>
      <c r="G45" s="545"/>
      <c r="H45" s="390">
        <f>H40</f>
        <v>20</v>
      </c>
      <c r="I45" s="78" t="s">
        <v>49</v>
      </c>
      <c r="J45" s="57">
        <v>0.1</v>
      </c>
      <c r="K45" s="78" t="s">
        <v>49</v>
      </c>
      <c r="L45" s="57">
        <v>0.7</v>
      </c>
      <c r="M45" s="78"/>
      <c r="N45" s="57"/>
      <c r="O45" s="78" t="s">
        <v>50</v>
      </c>
      <c r="P45" s="61">
        <f t="shared" ref="P45" si="1">H45*J45*L45</f>
        <v>1.4</v>
      </c>
      <c r="Q45" s="59"/>
      <c r="R45" s="403">
        <f>P45</f>
        <v>1.4</v>
      </c>
      <c r="S45" s="404" t="s">
        <v>81</v>
      </c>
      <c r="T45" s="552"/>
    </row>
    <row r="46" spans="2:21" s="519" customFormat="1" ht="16.5" customHeight="1">
      <c r="B46" s="542"/>
      <c r="C46" s="15">
        <f>RAB!C66</f>
        <v>0</v>
      </c>
      <c r="D46" s="33">
        <f>RAB!D66</f>
        <v>3</v>
      </c>
      <c r="E46" s="543" t="str">
        <f>RAB!E66</f>
        <v xml:space="preserve">Pas. Buis Beton Dia. 50cm </v>
      </c>
      <c r="F46" s="543"/>
      <c r="G46" s="545"/>
      <c r="H46" s="390"/>
      <c r="I46" s="78"/>
      <c r="J46" s="57"/>
      <c r="K46" s="78"/>
      <c r="L46" s="57"/>
      <c r="M46" s="78"/>
      <c r="N46" s="57"/>
      <c r="O46" s="78" t="s">
        <v>50</v>
      </c>
      <c r="P46" s="61">
        <f>H40</f>
        <v>20</v>
      </c>
      <c r="Q46" s="59"/>
      <c r="R46" s="403">
        <f>P46</f>
        <v>20</v>
      </c>
      <c r="S46" s="404" t="s">
        <v>23</v>
      </c>
      <c r="T46" s="552"/>
    </row>
    <row r="47" spans="2:21" s="519" customFormat="1" ht="16.5" customHeight="1">
      <c r="B47" s="542"/>
      <c r="C47" s="15"/>
      <c r="D47" s="33"/>
      <c r="E47" s="543"/>
      <c r="F47" s="543"/>
      <c r="G47" s="545"/>
      <c r="H47" s="390"/>
      <c r="I47" s="78"/>
      <c r="J47" s="57"/>
      <c r="K47" s="78"/>
      <c r="L47" s="57"/>
      <c r="M47" s="78"/>
      <c r="N47" s="57"/>
      <c r="O47" s="78"/>
      <c r="P47" s="58"/>
      <c r="Q47" s="59"/>
      <c r="R47" s="403"/>
      <c r="S47" s="404"/>
      <c r="T47" s="552"/>
    </row>
    <row r="48" spans="2:21" s="519" customFormat="1" ht="16.5" customHeight="1">
      <c r="B48" s="542"/>
      <c r="C48" s="380" t="str">
        <f>RAB!C69</f>
        <v>IV</v>
      </c>
      <c r="D48" s="33" t="str">
        <f>RAB!D69</f>
        <v>PEKERJAAN DRAINASE TYPE 4</v>
      </c>
      <c r="E48" s="543"/>
      <c r="F48" s="543"/>
      <c r="G48" s="545"/>
      <c r="H48" s="391"/>
      <c r="I48" s="78"/>
      <c r="J48" s="57"/>
      <c r="K48" s="78"/>
      <c r="L48" s="57"/>
      <c r="M48" s="78"/>
      <c r="N48" s="57"/>
      <c r="O48" s="78"/>
      <c r="P48" s="61"/>
      <c r="Q48" s="413"/>
      <c r="R48" s="403"/>
      <c r="S48" s="404"/>
      <c r="T48" s="552"/>
    </row>
    <row r="49" spans="2:21" s="519" customFormat="1" ht="16.5" customHeight="1">
      <c r="B49" s="542"/>
      <c r="C49" s="380"/>
      <c r="D49" s="33"/>
      <c r="E49" s="543"/>
      <c r="F49" s="543"/>
      <c r="G49" s="545" t="s">
        <v>458</v>
      </c>
      <c r="H49" s="391">
        <v>76</v>
      </c>
      <c r="I49" s="78"/>
      <c r="J49" s="57"/>
      <c r="K49" s="78"/>
      <c r="L49" s="57"/>
      <c r="M49" s="78"/>
      <c r="N49" s="57"/>
      <c r="O49" s="78"/>
      <c r="P49" s="61"/>
      <c r="Q49" s="413"/>
      <c r="R49" s="403"/>
      <c r="S49" s="404"/>
      <c r="T49" s="552"/>
      <c r="U49" s="1129">
        <f>REKAP!$J$37</f>
        <v>0</v>
      </c>
    </row>
    <row r="50" spans="2:21" s="519" customFormat="1" ht="16.5" customHeight="1">
      <c r="B50" s="542"/>
      <c r="C50" s="380"/>
      <c r="D50" s="33"/>
      <c r="E50" s="543"/>
      <c r="F50" s="543"/>
      <c r="G50" s="545" t="s">
        <v>447</v>
      </c>
      <c r="H50" s="391">
        <v>0.6</v>
      </c>
      <c r="I50" s="78"/>
      <c r="J50" s="57"/>
      <c r="K50" s="78"/>
      <c r="L50" s="57"/>
      <c r="M50" s="78"/>
      <c r="N50" s="60">
        <f t="shared" ref="N50" si="2">SUM(H50:L50)</f>
        <v>0.6</v>
      </c>
      <c r="O50" s="78"/>
      <c r="P50" s="61"/>
      <c r="Q50" s="413"/>
      <c r="R50" s="403"/>
      <c r="S50" s="404"/>
      <c r="T50" s="552"/>
      <c r="U50" s="1129"/>
    </row>
    <row r="51" spans="2:21" s="519" customFormat="1" ht="16.5" customHeight="1">
      <c r="B51" s="542"/>
      <c r="C51" s="380"/>
      <c r="D51" s="33"/>
      <c r="E51" s="543"/>
      <c r="F51" s="543"/>
      <c r="G51" s="545" t="s">
        <v>459</v>
      </c>
      <c r="H51" s="391">
        <v>0.5</v>
      </c>
      <c r="I51" s="78"/>
      <c r="J51" s="57">
        <v>0.1</v>
      </c>
      <c r="K51" s="78"/>
      <c r="L51" s="57">
        <v>0.1</v>
      </c>
      <c r="M51" s="78"/>
      <c r="N51" s="60">
        <f>SUM(H51:L51)</f>
        <v>0.7</v>
      </c>
      <c r="O51" s="78"/>
      <c r="P51" s="61"/>
      <c r="Q51" s="413"/>
      <c r="R51" s="403"/>
      <c r="S51" s="404"/>
      <c r="T51" s="552"/>
      <c r="U51" s="1129">
        <v>-32400000</v>
      </c>
    </row>
    <row r="52" spans="2:21" s="519" customFormat="1" ht="16.5" customHeight="1">
      <c r="B52" s="542"/>
      <c r="C52" s="380"/>
      <c r="D52" s="33"/>
      <c r="E52" s="543"/>
      <c r="F52" s="543"/>
      <c r="G52" s="545"/>
      <c r="H52" s="390"/>
      <c r="I52" s="78"/>
      <c r="J52" s="57"/>
      <c r="K52" s="78"/>
      <c r="L52" s="57"/>
      <c r="M52" s="78"/>
      <c r="N52" s="57"/>
      <c r="O52" s="78"/>
      <c r="P52" s="61"/>
      <c r="Q52" s="413"/>
      <c r="R52" s="403"/>
      <c r="S52" s="404"/>
      <c r="T52" s="552"/>
      <c r="U52" s="1129">
        <v>30900000</v>
      </c>
    </row>
    <row r="53" spans="2:21" s="519" customFormat="1" ht="16.5" customHeight="1">
      <c r="B53" s="542"/>
      <c r="C53" s="380"/>
      <c r="D53" s="33">
        <f>RAB!D70</f>
        <v>1</v>
      </c>
      <c r="E53" s="543" t="str">
        <f>RAB!E70</f>
        <v>Galian Tanah</v>
      </c>
      <c r="F53" s="543"/>
      <c r="G53" s="545"/>
      <c r="H53" s="390">
        <f>H49</f>
        <v>76</v>
      </c>
      <c r="I53" s="78" t="s">
        <v>49</v>
      </c>
      <c r="J53" s="57">
        <f>N51</f>
        <v>0.7</v>
      </c>
      <c r="K53" s="78" t="s">
        <v>49</v>
      </c>
      <c r="L53" s="57">
        <v>0.6</v>
      </c>
      <c r="M53" s="78"/>
      <c r="N53" s="57"/>
      <c r="O53" s="78" t="s">
        <v>50</v>
      </c>
      <c r="P53" s="61">
        <f>H53*J53*L53</f>
        <v>31.919999999999995</v>
      </c>
      <c r="Q53" s="413"/>
      <c r="R53" s="403">
        <f>P53</f>
        <v>31.919999999999995</v>
      </c>
      <c r="S53" s="404" t="s">
        <v>81</v>
      </c>
      <c r="T53" s="552"/>
      <c r="U53" s="1129">
        <f>U52-U51</f>
        <v>63300000</v>
      </c>
    </row>
    <row r="54" spans="2:21" s="519" customFormat="1" ht="16.5" customHeight="1">
      <c r="B54" s="542"/>
      <c r="C54" s="15"/>
      <c r="D54" s="33">
        <f>RAB!D71</f>
        <v>2</v>
      </c>
      <c r="E54" s="543" t="str">
        <f>RAB!E71</f>
        <v>Pasir Urug</v>
      </c>
      <c r="F54" s="543"/>
      <c r="G54" s="545"/>
      <c r="H54" s="390">
        <f>H49</f>
        <v>76</v>
      </c>
      <c r="I54" s="78" t="s">
        <v>49</v>
      </c>
      <c r="J54" s="57">
        <v>0.1</v>
      </c>
      <c r="K54" s="78" t="s">
        <v>49</v>
      </c>
      <c r="L54" s="57">
        <v>0.7</v>
      </c>
      <c r="M54" s="78"/>
      <c r="N54" s="57"/>
      <c r="O54" s="78" t="s">
        <v>50</v>
      </c>
      <c r="P54" s="61">
        <f t="shared" ref="P54" si="3">H54*J54*L54</f>
        <v>5.32</v>
      </c>
      <c r="Q54" s="59"/>
      <c r="R54" s="403">
        <f>P54</f>
        <v>5.32</v>
      </c>
      <c r="S54" s="404" t="s">
        <v>81</v>
      </c>
      <c r="T54" s="552"/>
      <c r="U54" s="519">
        <v>200</v>
      </c>
    </row>
    <row r="55" spans="2:21" s="519" customFormat="1" ht="16.5" customHeight="1">
      <c r="B55" s="542"/>
      <c r="C55" s="15"/>
      <c r="D55" s="33">
        <f>RAB!D72</f>
        <v>3</v>
      </c>
      <c r="E55" s="543" t="str">
        <f>RAB!E72</f>
        <v xml:space="preserve">Pas. Buis Beton Dia. 30cm </v>
      </c>
      <c r="F55" s="543"/>
      <c r="G55" s="545"/>
      <c r="H55" s="390"/>
      <c r="I55" s="78"/>
      <c r="J55" s="57"/>
      <c r="K55" s="78"/>
      <c r="L55" s="57"/>
      <c r="M55" s="78"/>
      <c r="N55" s="57"/>
      <c r="O55" s="78" t="s">
        <v>50</v>
      </c>
      <c r="P55" s="61">
        <f>H49</f>
        <v>76</v>
      </c>
      <c r="Q55" s="59"/>
      <c r="R55" s="403">
        <v>74</v>
      </c>
      <c r="S55" s="404" t="s">
        <v>23</v>
      </c>
      <c r="T55" s="552"/>
      <c r="U55" s="1129">
        <f>U53/U54</f>
        <v>316500</v>
      </c>
    </row>
    <row r="56" spans="2:21" s="519" customFormat="1" ht="16.5" customHeight="1">
      <c r="B56" s="542"/>
      <c r="C56" s="15"/>
      <c r="D56" s="33"/>
      <c r="E56" s="543"/>
      <c r="F56" s="543"/>
      <c r="G56" s="545"/>
      <c r="H56" s="390"/>
      <c r="I56" s="78"/>
      <c r="J56" s="57"/>
      <c r="K56" s="78"/>
      <c r="L56" s="57"/>
      <c r="M56" s="78"/>
      <c r="N56" s="57"/>
      <c r="O56" s="78"/>
      <c r="P56" s="58"/>
      <c r="Q56" s="59"/>
      <c r="R56" s="403"/>
      <c r="S56" s="404"/>
      <c r="T56" s="552"/>
      <c r="U56" s="1129">
        <v>32400000</v>
      </c>
    </row>
    <row r="57" spans="2:21" s="519" customFormat="1" ht="16.5" customHeight="1">
      <c r="B57" s="542"/>
      <c r="C57" s="380" t="str">
        <f>RAB!C75</f>
        <v>V</v>
      </c>
      <c r="D57" s="33" t="str">
        <f>RAB!D75</f>
        <v>PEKERJAAN BAK KONTROL</v>
      </c>
      <c r="E57" s="543"/>
      <c r="F57" s="543"/>
      <c r="G57" s="545"/>
      <c r="H57" s="391"/>
      <c r="I57" s="78"/>
      <c r="J57" s="57"/>
      <c r="K57" s="78"/>
      <c r="L57" s="57"/>
      <c r="M57" s="78"/>
      <c r="N57" s="57"/>
      <c r="O57" s="78"/>
      <c r="P57" s="61"/>
      <c r="Q57" s="413"/>
      <c r="R57" s="403"/>
      <c r="S57" s="404"/>
      <c r="T57" s="552"/>
      <c r="U57" s="1129">
        <f>U56/U55</f>
        <v>102.3696682464455</v>
      </c>
    </row>
    <row r="58" spans="2:21" s="519" customFormat="1" ht="16.5" customHeight="1">
      <c r="B58" s="542"/>
      <c r="C58" s="380"/>
      <c r="D58" s="33"/>
      <c r="E58" s="543"/>
      <c r="F58" s="543"/>
      <c r="G58" s="545" t="s">
        <v>52</v>
      </c>
      <c r="H58" s="391">
        <v>15</v>
      </c>
      <c r="I58" s="78"/>
      <c r="J58" s="57"/>
      <c r="K58" s="78"/>
      <c r="L58" s="57"/>
      <c r="M58" s="78"/>
      <c r="N58" s="57"/>
      <c r="O58" s="78"/>
      <c r="P58" s="61"/>
      <c r="Q58" s="413"/>
      <c r="R58" s="403"/>
      <c r="S58" s="404"/>
      <c r="T58" s="552"/>
    </row>
    <row r="59" spans="2:21" s="519" customFormat="1" ht="16.5" customHeight="1">
      <c r="B59" s="542"/>
      <c r="C59" s="380"/>
      <c r="D59" s="33"/>
      <c r="E59" s="543"/>
      <c r="F59" s="543"/>
      <c r="G59" s="545" t="s">
        <v>459</v>
      </c>
      <c r="H59" s="391">
        <v>0.6</v>
      </c>
      <c r="I59" s="78"/>
      <c r="J59" s="57"/>
      <c r="K59" s="78"/>
      <c r="L59" s="57"/>
      <c r="M59" s="78"/>
      <c r="N59" s="60">
        <f t="shared" ref="N59" si="4">SUM(H59:L59)</f>
        <v>0.6</v>
      </c>
      <c r="O59" s="78"/>
      <c r="P59" s="61"/>
      <c r="Q59" s="413"/>
      <c r="R59" s="403"/>
      <c r="S59" s="404"/>
      <c r="T59" s="552"/>
    </row>
    <row r="60" spans="2:21" s="519" customFormat="1" ht="16.5" customHeight="1">
      <c r="B60" s="542"/>
      <c r="C60" s="380"/>
      <c r="D60" s="33"/>
      <c r="E60" s="543"/>
      <c r="F60" s="543"/>
      <c r="G60" s="545" t="s">
        <v>880</v>
      </c>
      <c r="H60" s="391">
        <v>0.5</v>
      </c>
      <c r="I60" s="78"/>
      <c r="J60" s="57">
        <v>0.1</v>
      </c>
      <c r="K60" s="78"/>
      <c r="L60" s="57">
        <v>0.1</v>
      </c>
      <c r="M60" s="78"/>
      <c r="N60" s="60">
        <f>SUM(H60:L60)</f>
        <v>0.7</v>
      </c>
      <c r="O60" s="78"/>
      <c r="P60" s="61"/>
      <c r="Q60" s="413"/>
      <c r="R60" s="403"/>
      <c r="S60" s="404"/>
      <c r="T60" s="552"/>
    </row>
    <row r="61" spans="2:21" s="519" customFormat="1" ht="16.5" customHeight="1">
      <c r="B61" s="542"/>
      <c r="C61" s="380"/>
      <c r="D61" s="33"/>
      <c r="E61" s="543"/>
      <c r="F61" s="543"/>
      <c r="G61" s="545"/>
      <c r="H61" s="390"/>
      <c r="I61" s="78"/>
      <c r="J61" s="57"/>
      <c r="K61" s="78"/>
      <c r="L61" s="57"/>
      <c r="M61" s="78"/>
      <c r="N61" s="57"/>
      <c r="O61" s="78"/>
      <c r="P61" s="61"/>
      <c r="Q61" s="413"/>
      <c r="R61" s="403"/>
      <c r="S61" s="404"/>
      <c r="T61" s="552"/>
    </row>
    <row r="62" spans="2:21" s="519" customFormat="1" ht="16.5" customHeight="1">
      <c r="B62" s="542"/>
      <c r="C62" s="380">
        <f>RAB!C79</f>
        <v>0</v>
      </c>
      <c r="D62" s="33">
        <f>RAB!D76</f>
        <v>1</v>
      </c>
      <c r="E62" s="543" t="str">
        <f>RAB!E76</f>
        <v>Galian Tanah</v>
      </c>
      <c r="F62" s="543"/>
      <c r="G62" s="545"/>
      <c r="Q62" s="413"/>
      <c r="R62" s="403">
        <f>P64</f>
        <v>7.8975000000000009</v>
      </c>
      <c r="S62" s="404" t="s">
        <v>81</v>
      </c>
      <c r="T62" s="552"/>
    </row>
    <row r="63" spans="2:21" s="519" customFormat="1" ht="16.5" customHeight="1">
      <c r="B63" s="542"/>
      <c r="C63" s="732"/>
      <c r="D63" s="33"/>
      <c r="E63" s="543"/>
      <c r="F63" s="543"/>
      <c r="G63" s="545" t="s">
        <v>881</v>
      </c>
      <c r="H63" s="733">
        <f>H59+0.15+0.15</f>
        <v>0.9</v>
      </c>
      <c r="I63" s="78" t="s">
        <v>49</v>
      </c>
      <c r="J63" s="57">
        <f>H63</f>
        <v>0.9</v>
      </c>
      <c r="K63" s="78" t="s">
        <v>49</v>
      </c>
      <c r="L63" s="57">
        <f>H60+0.15</f>
        <v>0.65</v>
      </c>
      <c r="M63" s="78"/>
      <c r="N63" s="57"/>
      <c r="O63" s="78" t="s">
        <v>50</v>
      </c>
      <c r="P63" s="61">
        <f>H63*J63*L63</f>
        <v>0.52650000000000008</v>
      </c>
      <c r="Q63" s="413"/>
      <c r="R63" s="403"/>
      <c r="S63" s="404"/>
      <c r="T63" s="552"/>
    </row>
    <row r="64" spans="2:21" s="519" customFormat="1" ht="16.5" customHeight="1">
      <c r="B64" s="542"/>
      <c r="C64" s="732"/>
      <c r="D64" s="33"/>
      <c r="E64" s="543"/>
      <c r="F64" s="543"/>
      <c r="G64" s="545" t="s">
        <v>882</v>
      </c>
      <c r="H64" s="390">
        <f>H58</f>
        <v>15</v>
      </c>
      <c r="I64" s="78" t="s">
        <v>49</v>
      </c>
      <c r="J64" s="57">
        <f>P63</f>
        <v>0.52650000000000008</v>
      </c>
      <c r="K64" s="78" t="s">
        <v>49</v>
      </c>
      <c r="L64" s="57">
        <v>1</v>
      </c>
      <c r="M64" s="78"/>
      <c r="N64" s="57"/>
      <c r="O64" s="78" t="s">
        <v>50</v>
      </c>
      <c r="P64" s="61">
        <f>H64*J64*L64</f>
        <v>7.8975000000000009</v>
      </c>
      <c r="Q64" s="413"/>
      <c r="R64" s="403"/>
      <c r="S64" s="404"/>
      <c r="T64" s="552"/>
    </row>
    <row r="65" spans="2:20" s="519" customFormat="1" ht="16.5" customHeight="1">
      <c r="B65" s="542"/>
      <c r="C65" s="732"/>
      <c r="D65" s="33"/>
      <c r="E65" s="543"/>
      <c r="F65" s="543"/>
      <c r="G65" s="545"/>
      <c r="H65" s="733"/>
      <c r="I65" s="78"/>
      <c r="J65" s="57"/>
      <c r="K65" s="78"/>
      <c r="L65" s="57"/>
      <c r="M65" s="78"/>
      <c r="N65" s="57"/>
      <c r="O65" s="78"/>
      <c r="P65" s="61"/>
      <c r="Q65" s="413"/>
      <c r="R65" s="403"/>
      <c r="S65" s="404"/>
      <c r="T65" s="552"/>
    </row>
    <row r="66" spans="2:20" s="519" customFormat="1" ht="16.5" customHeight="1">
      <c r="B66" s="542"/>
      <c r="C66" s="15">
        <f>RAB!C80</f>
        <v>0</v>
      </c>
      <c r="D66" s="33">
        <f>RAB!D77</f>
        <v>2</v>
      </c>
      <c r="E66" s="543" t="str">
        <f>RAB!E77</f>
        <v>Bak Kontrol Tipe 1</v>
      </c>
      <c r="F66" s="543"/>
      <c r="G66" s="545"/>
      <c r="H66" s="390"/>
      <c r="I66" s="78"/>
      <c r="J66" s="57"/>
      <c r="K66" s="78"/>
      <c r="L66" s="57"/>
      <c r="M66" s="78"/>
      <c r="N66" s="57"/>
      <c r="O66" s="78"/>
      <c r="P66" s="61"/>
      <c r="Q66" s="59"/>
      <c r="R66" s="403">
        <f>H58</f>
        <v>15</v>
      </c>
      <c r="S66" s="404" t="s">
        <v>62</v>
      </c>
      <c r="T66" s="552"/>
    </row>
    <row r="67" spans="2:20" s="519" customFormat="1" ht="16.5" customHeight="1">
      <c r="B67" s="542"/>
      <c r="C67" s="731"/>
      <c r="D67" s="33"/>
      <c r="E67" s="543"/>
      <c r="F67" s="543"/>
      <c r="G67" s="545"/>
      <c r="H67" s="733"/>
      <c r="I67" s="78"/>
      <c r="J67" s="57"/>
      <c r="K67" s="78"/>
      <c r="L67" s="57"/>
      <c r="M67" s="78"/>
      <c r="N67" s="57"/>
      <c r="O67" s="78"/>
      <c r="P67" s="61"/>
      <c r="Q67" s="59"/>
      <c r="R67" s="403"/>
      <c r="S67" s="404"/>
      <c r="T67" s="552"/>
    </row>
    <row r="68" spans="2:20" s="519" customFormat="1" ht="16.5" customHeight="1">
      <c r="B68" s="542"/>
      <c r="C68" s="15">
        <f>RAB!C81</f>
        <v>0</v>
      </c>
      <c r="D68" s="33">
        <f>RAB!D78</f>
        <v>3</v>
      </c>
      <c r="E68" s="543" t="str">
        <f>RAB!E78</f>
        <v>Tutup Kontrol Rangka Besi</v>
      </c>
      <c r="F68" s="543"/>
      <c r="G68" s="545"/>
      <c r="H68" s="390"/>
      <c r="I68" s="78"/>
      <c r="J68" s="57"/>
      <c r="K68" s="78"/>
      <c r="L68" s="57"/>
      <c r="M68" s="78"/>
      <c r="N68" s="57"/>
      <c r="O68" s="78"/>
      <c r="P68" s="61"/>
      <c r="Q68" s="59"/>
      <c r="R68" s="403">
        <f>R66</f>
        <v>15</v>
      </c>
      <c r="S68" s="404" t="s">
        <v>23</v>
      </c>
      <c r="T68" s="552"/>
    </row>
    <row r="69" spans="2:20" s="519" customFormat="1" ht="16.5" customHeight="1">
      <c r="B69" s="542"/>
      <c r="C69" s="15"/>
      <c r="D69" s="33"/>
      <c r="E69" s="543"/>
      <c r="F69" s="543"/>
      <c r="G69" s="545"/>
      <c r="H69" s="390"/>
      <c r="I69" s="78"/>
      <c r="J69" s="57"/>
      <c r="K69" s="78"/>
      <c r="L69" s="57"/>
      <c r="M69" s="78"/>
      <c r="N69" s="57"/>
      <c r="O69" s="78"/>
      <c r="P69" s="58"/>
      <c r="Q69" s="59"/>
      <c r="R69" s="403"/>
      <c r="S69" s="404"/>
      <c r="T69" s="552"/>
    </row>
    <row r="70" spans="2:20" s="519" customFormat="1" ht="16.5" customHeight="1">
      <c r="B70" s="542"/>
      <c r="C70" s="15"/>
      <c r="D70" s="33"/>
      <c r="E70" s="543"/>
      <c r="F70" s="543"/>
      <c r="G70" s="545"/>
      <c r="H70" s="390"/>
      <c r="I70" s="78"/>
      <c r="J70" s="57"/>
      <c r="K70" s="78"/>
      <c r="L70" s="57"/>
      <c r="M70" s="78"/>
      <c r="N70" s="57"/>
      <c r="O70" s="78"/>
      <c r="P70" s="58"/>
      <c r="Q70" s="59"/>
      <c r="R70" s="403"/>
      <c r="S70" s="404"/>
      <c r="T70" s="552"/>
    </row>
    <row r="71" spans="2:20" s="519" customFormat="1" ht="16.5" customHeight="1">
      <c r="B71" s="542"/>
      <c r="C71" s="15"/>
      <c r="D71" s="33"/>
      <c r="E71" s="543"/>
      <c r="F71" s="543"/>
      <c r="G71" s="545"/>
      <c r="H71" s="390"/>
      <c r="I71" s="78"/>
      <c r="J71" s="57"/>
      <c r="K71" s="79"/>
      <c r="L71" s="60"/>
      <c r="M71" s="79"/>
      <c r="N71" s="60"/>
      <c r="O71" s="78"/>
      <c r="P71" s="58"/>
      <c r="Q71" s="59"/>
      <c r="R71" s="403"/>
      <c r="S71" s="404"/>
      <c r="T71" s="552"/>
    </row>
    <row r="72" spans="2:20">
      <c r="H72" s="62"/>
      <c r="R72" s="428"/>
      <c r="S72" s="561"/>
      <c r="T72" s="562"/>
    </row>
    <row r="73" spans="2:20">
      <c r="H73" s="62"/>
      <c r="R73" s="428"/>
      <c r="S73" s="561"/>
      <c r="T73" s="562"/>
    </row>
    <row r="74" spans="2:20">
      <c r="H74" s="62"/>
      <c r="R74" s="428"/>
      <c r="S74" s="561"/>
      <c r="T74" s="562"/>
    </row>
    <row r="75" spans="2:20">
      <c r="H75" s="62"/>
      <c r="R75" s="428"/>
      <c r="S75" s="561"/>
      <c r="T75" s="562"/>
    </row>
    <row r="76" spans="2:20">
      <c r="H76" s="62"/>
      <c r="R76" s="428"/>
      <c r="S76" s="561"/>
      <c r="T76" s="562"/>
    </row>
    <row r="77" spans="2:20">
      <c r="H77" s="62"/>
      <c r="R77" s="428"/>
      <c r="S77" s="561"/>
      <c r="T77" s="562"/>
    </row>
    <row r="78" spans="2:20">
      <c r="H78" s="62"/>
      <c r="R78" s="428"/>
      <c r="S78" s="561"/>
      <c r="T78" s="562"/>
    </row>
    <row r="79" spans="2:20">
      <c r="H79" s="62"/>
      <c r="R79" s="428"/>
      <c r="S79" s="561"/>
      <c r="T79" s="562"/>
    </row>
    <row r="80" spans="2:20">
      <c r="H80" s="62"/>
      <c r="R80" s="428"/>
      <c r="S80" s="561"/>
      <c r="T80" s="562"/>
    </row>
    <row r="81" spans="8:20">
      <c r="H81" s="62"/>
      <c r="R81" s="428"/>
      <c r="S81" s="561"/>
      <c r="T81" s="562"/>
    </row>
    <row r="82" spans="8:20">
      <c r="H82" s="62"/>
      <c r="R82" s="428"/>
      <c r="S82" s="561"/>
      <c r="T82" s="562"/>
    </row>
    <row r="83" spans="8:20">
      <c r="H83" s="62"/>
      <c r="R83" s="428"/>
      <c r="S83" s="561"/>
      <c r="T83" s="562"/>
    </row>
    <row r="84" spans="8:20">
      <c r="H84" s="62"/>
      <c r="R84" s="428"/>
      <c r="S84" s="561"/>
      <c r="T84" s="562"/>
    </row>
    <row r="85" spans="8:20">
      <c r="H85" s="62"/>
      <c r="R85" s="428"/>
      <c r="S85" s="561"/>
      <c r="T85" s="562"/>
    </row>
    <row r="86" spans="8:20">
      <c r="H86" s="62"/>
      <c r="R86" s="428"/>
      <c r="S86" s="561"/>
      <c r="T86" s="562"/>
    </row>
    <row r="87" spans="8:20">
      <c r="H87" s="62"/>
      <c r="R87" s="428"/>
      <c r="S87" s="561"/>
      <c r="T87" s="562"/>
    </row>
    <row r="88" spans="8:20">
      <c r="H88" s="62"/>
      <c r="R88" s="428"/>
      <c r="S88" s="561"/>
      <c r="T88" s="562"/>
    </row>
    <row r="89" spans="8:20">
      <c r="H89" s="62"/>
      <c r="R89" s="428"/>
      <c r="S89" s="561"/>
      <c r="T89" s="562"/>
    </row>
    <row r="90" spans="8:20">
      <c r="H90" s="62"/>
      <c r="R90" s="428"/>
      <c r="S90" s="561"/>
      <c r="T90" s="562"/>
    </row>
    <row r="91" spans="8:20">
      <c r="H91" s="62"/>
      <c r="R91" s="428"/>
      <c r="S91" s="561"/>
      <c r="T91" s="562"/>
    </row>
    <row r="92" spans="8:20">
      <c r="H92" s="62"/>
      <c r="R92" s="428"/>
      <c r="S92" s="561"/>
      <c r="T92" s="562"/>
    </row>
    <row r="93" spans="8:20">
      <c r="H93" s="62"/>
      <c r="R93" s="428"/>
      <c r="S93" s="561"/>
      <c r="T93" s="562"/>
    </row>
    <row r="94" spans="8:20">
      <c r="H94" s="62"/>
      <c r="R94" s="428"/>
      <c r="S94" s="561"/>
      <c r="T94" s="562"/>
    </row>
    <row r="95" spans="8:20">
      <c r="H95" s="62"/>
      <c r="R95" s="428"/>
      <c r="S95" s="561"/>
      <c r="T95" s="562"/>
    </row>
    <row r="96" spans="8:20">
      <c r="H96" s="62"/>
      <c r="R96" s="428"/>
      <c r="S96" s="561"/>
      <c r="T96" s="562"/>
    </row>
    <row r="97" spans="8:20">
      <c r="H97" s="62"/>
      <c r="R97" s="428"/>
      <c r="S97" s="561"/>
      <c r="T97" s="562"/>
    </row>
    <row r="98" spans="8:20">
      <c r="H98" s="62"/>
      <c r="R98" s="428"/>
      <c r="S98" s="561"/>
      <c r="T98" s="562"/>
    </row>
    <row r="99" spans="8:20">
      <c r="H99" s="62"/>
      <c r="R99" s="428"/>
      <c r="S99" s="561"/>
      <c r="T99" s="562"/>
    </row>
    <row r="100" spans="8:20">
      <c r="H100" s="62"/>
      <c r="R100" s="428"/>
      <c r="S100" s="561"/>
      <c r="T100" s="562"/>
    </row>
    <row r="101" spans="8:20">
      <c r="H101" s="62"/>
      <c r="R101" s="428"/>
      <c r="S101" s="561"/>
      <c r="T101" s="562"/>
    </row>
    <row r="102" spans="8:20">
      <c r="H102" s="62"/>
      <c r="R102" s="428"/>
      <c r="S102" s="561"/>
      <c r="T102" s="562"/>
    </row>
    <row r="103" spans="8:20">
      <c r="H103" s="62"/>
      <c r="R103" s="428"/>
      <c r="S103" s="561"/>
      <c r="T103" s="562"/>
    </row>
    <row r="104" spans="8:20">
      <c r="H104" s="62"/>
      <c r="R104" s="428"/>
      <c r="S104" s="561"/>
      <c r="T104" s="562"/>
    </row>
    <row r="105" spans="8:20">
      <c r="H105" s="62"/>
      <c r="R105" s="428"/>
      <c r="S105" s="561"/>
      <c r="T105" s="562"/>
    </row>
    <row r="106" spans="8:20">
      <c r="H106" s="62"/>
      <c r="R106" s="428"/>
      <c r="S106" s="561"/>
      <c r="T106" s="562"/>
    </row>
    <row r="107" spans="8:20">
      <c r="H107" s="62"/>
      <c r="R107" s="428"/>
      <c r="S107" s="561"/>
      <c r="T107" s="562"/>
    </row>
    <row r="108" spans="8:20">
      <c r="H108" s="62"/>
      <c r="R108" s="428"/>
      <c r="S108" s="561"/>
      <c r="T108" s="562"/>
    </row>
    <row r="109" spans="8:20">
      <c r="H109" s="62"/>
      <c r="R109" s="428"/>
      <c r="S109" s="561"/>
      <c r="T109" s="562"/>
    </row>
    <row r="110" spans="8:20">
      <c r="H110" s="62"/>
      <c r="R110" s="428"/>
      <c r="S110" s="561"/>
      <c r="T110" s="562"/>
    </row>
    <row r="111" spans="8:20">
      <c r="H111" s="62"/>
      <c r="R111" s="428"/>
      <c r="S111" s="561"/>
      <c r="T111" s="562"/>
    </row>
    <row r="112" spans="8:20">
      <c r="H112" s="62"/>
      <c r="R112" s="428"/>
      <c r="S112" s="561"/>
      <c r="T112" s="562"/>
    </row>
    <row r="113" spans="8:20">
      <c r="H113" s="62"/>
      <c r="R113" s="428"/>
      <c r="S113" s="561"/>
      <c r="T113" s="562"/>
    </row>
    <row r="114" spans="8:20">
      <c r="H114" s="62"/>
      <c r="R114" s="428"/>
      <c r="S114" s="561"/>
      <c r="T114" s="562"/>
    </row>
    <row r="115" spans="8:20">
      <c r="H115" s="62"/>
      <c r="R115" s="428"/>
      <c r="S115" s="561"/>
      <c r="T115" s="562"/>
    </row>
    <row r="116" spans="8:20">
      <c r="H116" s="62"/>
      <c r="R116" s="428"/>
      <c r="S116" s="561"/>
      <c r="T116" s="562"/>
    </row>
    <row r="117" spans="8:20">
      <c r="H117" s="62"/>
      <c r="R117" s="428"/>
      <c r="S117" s="561"/>
      <c r="T117" s="562"/>
    </row>
    <row r="118" spans="8:20">
      <c r="H118" s="62"/>
      <c r="R118" s="428"/>
      <c r="S118" s="561"/>
      <c r="T118" s="562"/>
    </row>
    <row r="119" spans="8:20">
      <c r="H119" s="62"/>
      <c r="R119" s="428"/>
      <c r="S119" s="561"/>
      <c r="T119" s="562"/>
    </row>
    <row r="120" spans="8:20">
      <c r="H120" s="62"/>
      <c r="R120" s="428"/>
      <c r="S120" s="561"/>
      <c r="T120" s="562"/>
    </row>
    <row r="121" spans="8:20">
      <c r="H121" s="62"/>
      <c r="R121" s="428"/>
      <c r="S121" s="561"/>
      <c r="T121" s="562"/>
    </row>
    <row r="122" spans="8:20">
      <c r="H122" s="62"/>
      <c r="R122" s="428"/>
      <c r="S122" s="561"/>
      <c r="T122" s="562"/>
    </row>
    <row r="123" spans="8:20">
      <c r="H123" s="62"/>
      <c r="R123" s="428"/>
      <c r="S123" s="561"/>
      <c r="T123" s="562"/>
    </row>
    <row r="124" spans="8:20">
      <c r="H124" s="62"/>
      <c r="R124" s="428"/>
      <c r="S124" s="561"/>
      <c r="T124" s="562"/>
    </row>
    <row r="125" spans="8:20">
      <c r="H125" s="62"/>
      <c r="R125" s="428"/>
      <c r="S125" s="561"/>
      <c r="T125" s="562"/>
    </row>
    <row r="126" spans="8:20">
      <c r="H126" s="62"/>
      <c r="R126" s="428"/>
      <c r="S126" s="561"/>
      <c r="T126" s="562"/>
    </row>
    <row r="127" spans="8:20">
      <c r="H127" s="62"/>
      <c r="R127" s="428"/>
      <c r="S127" s="561"/>
      <c r="T127" s="562"/>
    </row>
    <row r="128" spans="8:20">
      <c r="H128" s="62"/>
      <c r="R128" s="428"/>
      <c r="S128" s="561"/>
      <c r="T128" s="562"/>
    </row>
    <row r="129" spans="8:20">
      <c r="H129" s="62"/>
      <c r="R129" s="428"/>
      <c r="S129" s="561"/>
      <c r="T129" s="562"/>
    </row>
    <row r="130" spans="8:20">
      <c r="H130" s="62"/>
      <c r="R130" s="428"/>
      <c r="S130" s="561"/>
      <c r="T130" s="562"/>
    </row>
    <row r="131" spans="8:20">
      <c r="H131" s="62"/>
      <c r="R131" s="428"/>
      <c r="S131" s="561"/>
      <c r="T131" s="562"/>
    </row>
    <row r="132" spans="8:20">
      <c r="H132" s="62"/>
      <c r="R132" s="428"/>
      <c r="S132" s="561"/>
      <c r="T132" s="562"/>
    </row>
    <row r="133" spans="8:20">
      <c r="H133" s="62"/>
      <c r="R133" s="428"/>
      <c r="S133" s="561"/>
      <c r="T133" s="562"/>
    </row>
    <row r="134" spans="8:20">
      <c r="H134" s="62"/>
      <c r="R134" s="428"/>
      <c r="S134" s="561"/>
      <c r="T134" s="562"/>
    </row>
    <row r="135" spans="8:20">
      <c r="H135" s="62"/>
      <c r="R135" s="428"/>
      <c r="S135" s="561"/>
      <c r="T135" s="562"/>
    </row>
    <row r="136" spans="8:20">
      <c r="H136" s="62"/>
      <c r="R136" s="428"/>
      <c r="S136" s="561"/>
      <c r="T136" s="562"/>
    </row>
    <row r="137" spans="8:20">
      <c r="H137" s="62"/>
      <c r="R137" s="428"/>
      <c r="S137" s="561"/>
      <c r="T137" s="562"/>
    </row>
    <row r="138" spans="8:20">
      <c r="H138" s="62"/>
      <c r="R138" s="428"/>
      <c r="S138" s="561"/>
      <c r="T138" s="562"/>
    </row>
    <row r="139" spans="8:20">
      <c r="H139" s="62"/>
      <c r="R139" s="428"/>
      <c r="S139" s="561"/>
      <c r="T139" s="562"/>
    </row>
    <row r="140" spans="8:20">
      <c r="H140" s="62"/>
      <c r="R140" s="428"/>
      <c r="S140" s="561"/>
      <c r="T140" s="562"/>
    </row>
    <row r="141" spans="8:20">
      <c r="H141" s="62"/>
      <c r="R141" s="428"/>
      <c r="S141" s="561"/>
      <c r="T141" s="562"/>
    </row>
    <row r="142" spans="8:20">
      <c r="H142" s="62"/>
      <c r="R142" s="428"/>
      <c r="S142" s="561"/>
      <c r="T142" s="562"/>
    </row>
    <row r="143" spans="8:20">
      <c r="H143" s="62"/>
      <c r="R143" s="428"/>
      <c r="S143" s="561"/>
      <c r="T143" s="562"/>
    </row>
    <row r="144" spans="8:20">
      <c r="H144" s="62"/>
      <c r="R144" s="428"/>
      <c r="S144" s="561"/>
      <c r="T144" s="562"/>
    </row>
    <row r="145" spans="8:20">
      <c r="H145" s="62"/>
      <c r="R145" s="428"/>
      <c r="S145" s="561"/>
      <c r="T145" s="562"/>
    </row>
    <row r="146" spans="8:20">
      <c r="H146" s="62"/>
      <c r="R146" s="428"/>
      <c r="S146" s="561"/>
      <c r="T146" s="562"/>
    </row>
    <row r="147" spans="8:20">
      <c r="H147" s="62"/>
      <c r="R147" s="428"/>
      <c r="S147" s="561"/>
      <c r="T147" s="562"/>
    </row>
    <row r="148" spans="8:20">
      <c r="H148" s="62"/>
      <c r="R148" s="428"/>
      <c r="S148" s="561"/>
      <c r="T148" s="562"/>
    </row>
    <row r="149" spans="8:20">
      <c r="H149" s="62"/>
      <c r="R149" s="428"/>
      <c r="S149" s="561"/>
      <c r="T149" s="562"/>
    </row>
    <row r="150" spans="8:20">
      <c r="H150" s="62"/>
      <c r="R150" s="428"/>
      <c r="S150" s="561"/>
      <c r="T150" s="562"/>
    </row>
    <row r="151" spans="8:20">
      <c r="H151" s="62"/>
      <c r="R151" s="428"/>
      <c r="S151" s="561"/>
      <c r="T151" s="562"/>
    </row>
    <row r="152" spans="8:20">
      <c r="H152" s="62"/>
      <c r="R152" s="428"/>
      <c r="S152" s="561"/>
      <c r="T152" s="562"/>
    </row>
    <row r="153" spans="8:20">
      <c r="H153" s="62"/>
      <c r="R153" s="428"/>
      <c r="S153" s="561"/>
      <c r="T153" s="562"/>
    </row>
    <row r="154" spans="8:20">
      <c r="H154" s="62"/>
      <c r="R154" s="428"/>
      <c r="S154" s="561"/>
      <c r="T154" s="562"/>
    </row>
    <row r="399" spans="5:5">
      <c r="E399" s="558" t="s">
        <v>850</v>
      </c>
    </row>
    <row r="400" spans="5:5">
      <c r="E400" s="746" t="s">
        <v>851</v>
      </c>
    </row>
    <row r="401" spans="5:5">
      <c r="E401" s="746" t="s">
        <v>852</v>
      </c>
    </row>
    <row r="402" spans="5:5">
      <c r="E402" s="746" t="s">
        <v>244</v>
      </c>
    </row>
  </sheetData>
  <mergeCells count="5">
    <mergeCell ref="B3:S3"/>
    <mergeCell ref="C12:G12"/>
    <mergeCell ref="H12:Q12"/>
    <mergeCell ref="C13:G13"/>
    <mergeCell ref="H13:Q1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  <outlinePr summaryBelow="0" summaryRight="0"/>
  </sheetPr>
  <dimension ref="B3:W230"/>
  <sheetViews>
    <sheetView view="pageBreakPreview" topLeftCell="A55" zoomScaleNormal="100" zoomScaleSheetLayoutView="100" workbookViewId="0">
      <selection activeCell="G63" sqref="G63"/>
    </sheetView>
  </sheetViews>
  <sheetFormatPr defaultColWidth="9.21875" defaultRowHeight="15.6"/>
  <cols>
    <col min="1" max="1" width="9.21875" style="31"/>
    <col min="2" max="2" width="4.5546875" style="24" customWidth="1"/>
    <col min="3" max="4" width="4.77734375" style="75" customWidth="1"/>
    <col min="5" max="5" width="10.21875" style="25" customWidth="1"/>
    <col min="6" max="6" width="2" style="24" customWidth="1"/>
    <col min="7" max="7" width="28.77734375" style="26" customWidth="1"/>
    <col min="8" max="8" width="10.21875" style="402" customWidth="1"/>
    <col min="9" max="9" width="3.21875" style="80" customWidth="1"/>
    <col min="10" max="10" width="10.21875" style="62" customWidth="1"/>
    <col min="11" max="11" width="3.21875" style="80" customWidth="1"/>
    <col min="12" max="12" width="10.21875" style="62" customWidth="1"/>
    <col min="13" max="13" width="3.21875" style="80" customWidth="1"/>
    <col min="14" max="14" width="10.21875" style="62" customWidth="1"/>
    <col min="15" max="15" width="3.21875" style="80" customWidth="1"/>
    <col min="16" max="16" width="10.77734375" style="63" customWidth="1"/>
    <col min="17" max="17" width="5.77734375" style="62" customWidth="1"/>
    <col min="18" max="18" width="10.77734375" style="43" customWidth="1"/>
    <col min="19" max="19" width="7.21875" style="69" customWidth="1"/>
    <col min="20" max="21" width="9.21875" style="31"/>
    <col min="22" max="22" width="10.6640625" style="31" bestFit="1" customWidth="1"/>
    <col min="23" max="23" width="12.44140625" style="31" customWidth="1"/>
    <col min="24" max="16384" width="9.21875" style="31"/>
  </cols>
  <sheetData>
    <row r="3" spans="2:20" s="30" customFormat="1" ht="26.25" customHeight="1">
      <c r="B3" s="1233" t="s">
        <v>389</v>
      </c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1233"/>
      <c r="R3" s="1233"/>
      <c r="S3" s="1233"/>
    </row>
    <row r="4" spans="2:20" s="30" customFormat="1" ht="16.350000000000001" customHeight="1">
      <c r="B4" s="388"/>
      <c r="C4" s="388"/>
      <c r="D4" s="388"/>
      <c r="E4" s="388"/>
      <c r="F4" s="388"/>
      <c r="G4" s="388"/>
      <c r="H4" s="395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</row>
    <row r="5" spans="2:20" s="30" customFormat="1" ht="15" customHeight="1">
      <c r="B5" s="388"/>
      <c r="C5" s="388"/>
      <c r="D5" s="388"/>
      <c r="E5" s="388"/>
      <c r="F5" s="388"/>
      <c r="G5" s="388"/>
      <c r="H5" s="395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2:20" s="30" customFormat="1" ht="19.8" customHeight="1">
      <c r="B6" s="105" t="s">
        <v>384</v>
      </c>
      <c r="C6" s="3"/>
      <c r="D6" s="149"/>
      <c r="E6" s="2"/>
      <c r="F6" s="105" t="s">
        <v>26</v>
      </c>
      <c r="G6" s="105" t="s">
        <v>380</v>
      </c>
      <c r="H6" s="396"/>
      <c r="I6" s="76"/>
      <c r="J6" s="49"/>
      <c r="K6" s="76"/>
      <c r="L6" s="49"/>
      <c r="M6" s="76"/>
      <c r="N6" s="49"/>
      <c r="O6" s="76"/>
      <c r="P6" s="49"/>
      <c r="Q6" s="50"/>
      <c r="R6" s="28"/>
      <c r="S6" s="20"/>
    </row>
    <row r="7" spans="2:20" s="1" customFormat="1" ht="19.8" customHeight="1">
      <c r="B7" s="3" t="s">
        <v>385</v>
      </c>
      <c r="C7" s="3"/>
      <c r="D7" s="149"/>
      <c r="E7" s="2"/>
      <c r="F7" s="105" t="s">
        <v>26</v>
      </c>
      <c r="G7" s="105" t="s">
        <v>377</v>
      </c>
      <c r="H7" s="397"/>
      <c r="I7" s="52"/>
      <c r="J7" s="51"/>
      <c r="K7" s="52"/>
      <c r="L7" s="51"/>
      <c r="M7" s="52"/>
      <c r="N7" s="51"/>
      <c r="O7" s="52"/>
      <c r="P7" s="52"/>
      <c r="Q7" s="51"/>
      <c r="R7" s="38"/>
      <c r="S7" s="64"/>
    </row>
    <row r="8" spans="2:20" s="1" customFormat="1" ht="19.8" customHeight="1">
      <c r="B8" s="3" t="s">
        <v>388</v>
      </c>
      <c r="C8" s="3"/>
      <c r="D8" s="149"/>
      <c r="E8" s="2"/>
      <c r="F8" s="105" t="s">
        <v>26</v>
      </c>
      <c r="G8" s="2" t="s">
        <v>375</v>
      </c>
      <c r="H8" s="397"/>
      <c r="I8" s="52"/>
      <c r="J8" s="51"/>
      <c r="K8" s="52"/>
      <c r="L8" s="51"/>
      <c r="M8" s="52"/>
      <c r="N8" s="51"/>
      <c r="O8" s="52"/>
      <c r="P8" s="52"/>
      <c r="Q8" s="51"/>
      <c r="R8" s="38"/>
      <c r="S8" s="64"/>
    </row>
    <row r="9" spans="2:20" s="1" customFormat="1" ht="19.8" customHeight="1">
      <c r="B9" s="3" t="s">
        <v>386</v>
      </c>
      <c r="C9" s="3"/>
      <c r="D9" s="149"/>
      <c r="E9" s="2"/>
      <c r="F9" s="105" t="s">
        <v>26</v>
      </c>
      <c r="G9" s="347" t="s">
        <v>376</v>
      </c>
      <c r="H9" s="397"/>
      <c r="I9" s="52"/>
      <c r="J9" s="51"/>
      <c r="K9" s="52"/>
      <c r="L9" s="51"/>
      <c r="M9" s="52"/>
      <c r="N9" s="51"/>
      <c r="O9" s="52"/>
      <c r="P9" s="52"/>
      <c r="Q9" s="51"/>
      <c r="R9" s="38"/>
      <c r="S9" s="3"/>
    </row>
    <row r="10" spans="2:20" s="1" customFormat="1" ht="19.8" customHeight="1">
      <c r="B10" s="3" t="s">
        <v>387</v>
      </c>
      <c r="C10" s="3"/>
      <c r="D10" s="149"/>
      <c r="E10" s="2"/>
      <c r="F10" s="105" t="s">
        <v>26</v>
      </c>
      <c r="G10" s="3" t="s">
        <v>348</v>
      </c>
      <c r="H10" s="397"/>
      <c r="I10" s="52"/>
      <c r="J10" s="51"/>
      <c r="K10" s="52"/>
      <c r="L10" s="51"/>
      <c r="M10" s="52"/>
      <c r="N10" s="51"/>
      <c r="O10" s="52"/>
      <c r="P10" s="52"/>
      <c r="Q10" s="51"/>
      <c r="R10" s="38"/>
      <c r="S10" s="3"/>
    </row>
    <row r="11" spans="2:20" s="1" customFormat="1" ht="16.5" customHeight="1" thickBot="1">
      <c r="B11" s="2"/>
      <c r="C11" s="73"/>
      <c r="D11" s="73"/>
      <c r="E11" s="3"/>
      <c r="F11" s="2"/>
      <c r="G11" s="18"/>
      <c r="H11" s="397"/>
      <c r="I11" s="52"/>
      <c r="J11" s="51"/>
      <c r="K11" s="52"/>
      <c r="L11" s="51"/>
      <c r="M11" s="52"/>
      <c r="N11" s="51"/>
      <c r="O11" s="52"/>
      <c r="P11" s="53"/>
      <c r="Q11" s="51"/>
      <c r="R11" s="39"/>
      <c r="S11" s="65"/>
    </row>
    <row r="12" spans="2:20" s="34" customFormat="1" ht="38.25" customHeight="1" thickTop="1">
      <c r="B12" s="150" t="s">
        <v>0</v>
      </c>
      <c r="C12" s="1241" t="s">
        <v>24</v>
      </c>
      <c r="D12" s="1242"/>
      <c r="E12" s="1242"/>
      <c r="F12" s="1242"/>
      <c r="G12" s="1243"/>
      <c r="H12" s="1234" t="s">
        <v>68</v>
      </c>
      <c r="I12" s="1235"/>
      <c r="J12" s="1235"/>
      <c r="K12" s="1235"/>
      <c r="L12" s="1235"/>
      <c r="M12" s="1235"/>
      <c r="N12" s="1235"/>
      <c r="O12" s="1235"/>
      <c r="P12" s="1235"/>
      <c r="Q12" s="1235"/>
      <c r="R12" s="338" t="s">
        <v>54</v>
      </c>
      <c r="S12" s="151" t="s">
        <v>40</v>
      </c>
    </row>
    <row r="13" spans="2:20" s="1" customFormat="1" ht="16.5" customHeight="1" thickBot="1">
      <c r="B13" s="335" t="s">
        <v>9</v>
      </c>
      <c r="C13" s="1244" t="s">
        <v>10</v>
      </c>
      <c r="D13" s="1245"/>
      <c r="E13" s="1245"/>
      <c r="F13" s="1245"/>
      <c r="G13" s="1246"/>
      <c r="H13" s="1239" t="s">
        <v>11</v>
      </c>
      <c r="I13" s="1240"/>
      <c r="J13" s="1240"/>
      <c r="K13" s="1240"/>
      <c r="L13" s="1240"/>
      <c r="M13" s="1240"/>
      <c r="N13" s="1240"/>
      <c r="O13" s="1240"/>
      <c r="P13" s="1240"/>
      <c r="Q13" s="1240"/>
      <c r="R13" s="336" t="s">
        <v>12</v>
      </c>
      <c r="S13" s="337" t="s">
        <v>13</v>
      </c>
    </row>
    <row r="14" spans="2:20" s="1" customFormat="1" ht="16.5" customHeight="1" thickTop="1">
      <c r="B14" s="4"/>
      <c r="C14" s="74"/>
      <c r="D14" s="377"/>
      <c r="E14" s="19"/>
      <c r="F14" s="5"/>
      <c r="G14" s="21"/>
      <c r="H14" s="398"/>
      <c r="I14" s="77"/>
      <c r="J14" s="54"/>
      <c r="K14" s="77"/>
      <c r="L14" s="54"/>
      <c r="M14" s="77"/>
      <c r="N14" s="54"/>
      <c r="O14" s="77"/>
      <c r="P14" s="55"/>
      <c r="Q14" s="56"/>
      <c r="R14" s="40"/>
      <c r="S14" s="66"/>
    </row>
    <row r="15" spans="2:20" s="1" customFormat="1" ht="16.5" customHeight="1">
      <c r="B15" s="35"/>
      <c r="C15" s="48"/>
      <c r="D15" s="378"/>
      <c r="E15" s="8"/>
      <c r="F15" s="9"/>
      <c r="G15" s="36"/>
      <c r="H15" s="399"/>
      <c r="I15" s="78"/>
      <c r="J15" s="57"/>
      <c r="K15" s="78"/>
      <c r="L15" s="57"/>
      <c r="M15" s="78"/>
      <c r="N15" s="57"/>
      <c r="O15" s="78"/>
      <c r="P15" s="61"/>
      <c r="Q15" s="59"/>
      <c r="R15" s="41"/>
      <c r="S15" s="67"/>
    </row>
    <row r="16" spans="2:20" s="1" customFormat="1" ht="16.5" customHeight="1">
      <c r="B16" s="6"/>
      <c r="C16" s="15"/>
      <c r="D16" s="33"/>
      <c r="E16" s="7"/>
      <c r="F16" s="7"/>
      <c r="G16" s="22"/>
      <c r="H16" s="390"/>
      <c r="I16" s="78"/>
      <c r="J16" s="57"/>
      <c r="K16" s="79"/>
      <c r="L16" s="60"/>
      <c r="M16" s="79"/>
      <c r="N16" s="60"/>
      <c r="O16" s="78"/>
      <c r="P16" s="58"/>
      <c r="Q16" s="59"/>
      <c r="R16" s="403"/>
      <c r="S16" s="404"/>
      <c r="T16" s="405"/>
    </row>
    <row r="17" spans="2:20" s="464" customFormat="1" ht="19.350000000000001" customHeight="1">
      <c r="B17" s="468" t="str">
        <f>RAB!B82</f>
        <v>D</v>
      </c>
      <c r="C17" s="469" t="str">
        <f>RAB!C82</f>
        <v>PEKERJAAN AREA PARKIR BASEMENT</v>
      </c>
      <c r="D17" s="470"/>
      <c r="E17" s="471"/>
      <c r="F17" s="471"/>
      <c r="G17" s="472"/>
      <c r="H17" s="473"/>
      <c r="I17" s="474"/>
      <c r="J17" s="475"/>
      <c r="K17" s="474"/>
      <c r="L17" s="475"/>
      <c r="M17" s="474"/>
      <c r="N17" s="475"/>
      <c r="O17" s="476"/>
      <c r="P17" s="476"/>
      <c r="Q17" s="476"/>
      <c r="R17" s="477"/>
      <c r="S17" s="478"/>
    </row>
    <row r="18" spans="2:20" s="1" customFormat="1" ht="16.5" customHeight="1">
      <c r="B18" s="381"/>
      <c r="C18" s="465" t="str">
        <f>RAB!C83</f>
        <v>I</v>
      </c>
      <c r="D18" s="382" t="str">
        <f>RAB!D83</f>
        <v>PEKERJAAN Bongkar</v>
      </c>
      <c r="E18" s="383"/>
      <c r="F18" s="383"/>
      <c r="G18" s="384"/>
      <c r="H18" s="400"/>
      <c r="I18" s="385"/>
      <c r="J18" s="389"/>
      <c r="K18" s="385"/>
      <c r="L18" s="389"/>
      <c r="M18" s="385"/>
      <c r="N18" s="389"/>
      <c r="O18" s="385"/>
      <c r="P18" s="466"/>
      <c r="Q18" s="467"/>
      <c r="R18" s="386"/>
      <c r="S18" s="387"/>
    </row>
    <row r="19" spans="2:20" s="1" customFormat="1" ht="16.5" customHeight="1">
      <c r="B19" s="6"/>
      <c r="C19" s="15"/>
      <c r="D19" s="33">
        <f>RAB!D84</f>
        <v>1</v>
      </c>
      <c r="E19" s="37" t="str">
        <f>RAB!E84</f>
        <v>Pembersihan Dinding, Kolom &amp; Balok</v>
      </c>
      <c r="F19" s="7"/>
      <c r="G19" s="23"/>
      <c r="H19" s="391"/>
      <c r="I19" s="79"/>
      <c r="J19" s="60"/>
      <c r="K19" s="79"/>
      <c r="L19" s="60"/>
      <c r="M19" s="79"/>
      <c r="N19" s="60"/>
      <c r="O19" s="79"/>
      <c r="P19" s="61"/>
      <c r="Q19" s="59"/>
      <c r="R19" s="403">
        <v>1</v>
      </c>
      <c r="S19" s="406" t="s">
        <v>20</v>
      </c>
      <c r="T19" s="405"/>
    </row>
    <row r="20" spans="2:20" s="1" customFormat="1" ht="16.5" customHeight="1">
      <c r="B20" s="6"/>
      <c r="C20" s="15"/>
      <c r="D20" s="33">
        <f>RAB!D85</f>
        <v>2</v>
      </c>
      <c r="E20" s="37" t="str">
        <f>RAB!E85</f>
        <v>Pembersihan Lantai Basement dari Debu</v>
      </c>
      <c r="F20" s="7"/>
      <c r="G20" s="23"/>
      <c r="H20" s="391"/>
      <c r="I20" s="78"/>
      <c r="J20" s="57"/>
      <c r="K20" s="78"/>
      <c r="L20" s="57"/>
      <c r="M20" s="78"/>
      <c r="N20" s="57"/>
      <c r="O20" s="78"/>
      <c r="P20" s="408"/>
      <c r="Q20" s="59"/>
      <c r="R20" s="403">
        <v>1</v>
      </c>
      <c r="S20" s="406" t="s">
        <v>20</v>
      </c>
      <c r="T20" s="405"/>
    </row>
    <row r="21" spans="2:20" s="1" customFormat="1" ht="16.5" customHeight="1">
      <c r="B21" s="6"/>
      <c r="C21" s="15"/>
      <c r="D21" s="33">
        <f>RAB!D86</f>
        <v>3</v>
      </c>
      <c r="E21" s="37" t="str">
        <f>RAB!E86</f>
        <v>Buang Sisa Bongkar dan Pembersihan</v>
      </c>
      <c r="F21" s="7"/>
      <c r="G21" s="23"/>
      <c r="H21" s="391"/>
      <c r="I21" s="78"/>
      <c r="J21" s="57"/>
      <c r="K21" s="78"/>
      <c r="L21" s="57"/>
      <c r="M21" s="78"/>
      <c r="N21" s="57"/>
      <c r="O21" s="78"/>
      <c r="P21" s="58"/>
      <c r="Q21" s="59"/>
      <c r="R21" s="403">
        <v>1</v>
      </c>
      <c r="S21" s="406" t="s">
        <v>20</v>
      </c>
      <c r="T21" s="405"/>
    </row>
    <row r="22" spans="2:20" s="1" customFormat="1" ht="16.5" customHeight="1">
      <c r="B22" s="6"/>
      <c r="C22" s="15"/>
      <c r="D22" s="33"/>
      <c r="E22" s="37"/>
      <c r="F22" s="7"/>
      <c r="G22" s="23"/>
      <c r="H22" s="391"/>
      <c r="I22" s="79"/>
      <c r="J22" s="60"/>
      <c r="K22" s="79"/>
      <c r="L22" s="60"/>
      <c r="M22" s="79"/>
      <c r="N22" s="60"/>
      <c r="O22" s="79"/>
      <c r="P22" s="61"/>
      <c r="Q22" s="59"/>
      <c r="R22" s="403"/>
      <c r="S22" s="406"/>
      <c r="T22" s="405"/>
    </row>
    <row r="23" spans="2:20" s="1" customFormat="1" ht="16.5" customHeight="1">
      <c r="B23" s="6"/>
      <c r="C23" s="15"/>
      <c r="D23" s="33"/>
      <c r="E23" s="7"/>
      <c r="F23" s="7"/>
      <c r="G23" s="22"/>
      <c r="H23" s="390"/>
      <c r="I23" s="78"/>
      <c r="J23" s="57"/>
      <c r="K23" s="78"/>
      <c r="L23" s="57"/>
      <c r="M23" s="78"/>
      <c r="N23" s="57"/>
      <c r="O23" s="78"/>
      <c r="P23" s="58"/>
      <c r="Q23" s="59"/>
      <c r="R23" s="403"/>
      <c r="S23" s="404"/>
      <c r="T23" s="405"/>
    </row>
    <row r="24" spans="2:20" s="1" customFormat="1" ht="16.5" customHeight="1">
      <c r="B24" s="381"/>
      <c r="C24" s="465" t="str">
        <f>RAB!C89</f>
        <v>II</v>
      </c>
      <c r="D24" s="382" t="str">
        <f>RAB!D89</f>
        <v xml:space="preserve">PEKERJAAN PONDASI &amp; BETON </v>
      </c>
      <c r="E24" s="383"/>
      <c r="F24" s="383"/>
      <c r="G24" s="384"/>
      <c r="H24" s="400"/>
      <c r="I24" s="385"/>
      <c r="J24" s="389"/>
      <c r="K24" s="385"/>
      <c r="L24" s="389"/>
      <c r="M24" s="385"/>
      <c r="N24" s="389"/>
      <c r="O24" s="385"/>
      <c r="P24" s="466"/>
      <c r="Q24" s="467"/>
      <c r="R24" s="386"/>
      <c r="S24" s="387"/>
    </row>
    <row r="25" spans="2:20" s="1" customFormat="1" ht="16.5" customHeight="1">
      <c r="B25" s="6"/>
      <c r="C25" s="15"/>
      <c r="D25" s="33"/>
      <c r="E25" s="37"/>
      <c r="F25" s="7"/>
      <c r="G25" s="22"/>
      <c r="H25" s="391"/>
      <c r="I25" s="78"/>
      <c r="J25" s="57"/>
      <c r="K25" s="78"/>
      <c r="L25" s="57"/>
      <c r="M25" s="78"/>
      <c r="N25" s="57"/>
      <c r="O25" s="78"/>
      <c r="P25" s="61"/>
      <c r="Q25" s="59"/>
      <c r="R25" s="29"/>
      <c r="S25" s="68"/>
      <c r="T25" s="405"/>
    </row>
    <row r="26" spans="2:20" s="1" customFormat="1" ht="16.5" customHeight="1">
      <c r="B26" s="6"/>
      <c r="C26" s="15"/>
      <c r="D26" s="33"/>
      <c r="E26" s="37"/>
      <c r="F26" s="7"/>
      <c r="G26" s="22" t="s">
        <v>810</v>
      </c>
      <c r="H26" s="457">
        <v>4100</v>
      </c>
      <c r="I26" s="78" t="s">
        <v>49</v>
      </c>
      <c r="J26" s="451">
        <v>1</v>
      </c>
      <c r="K26" s="78" t="s">
        <v>49</v>
      </c>
      <c r="L26" s="57">
        <v>1</v>
      </c>
      <c r="M26" s="78"/>
      <c r="N26" s="57"/>
      <c r="O26" s="78" t="s">
        <v>50</v>
      </c>
      <c r="P26" s="58">
        <f t="shared" ref="P26:P28" si="0">H26*J26*L26</f>
        <v>4100</v>
      </c>
      <c r="Q26" s="59" t="s">
        <v>81</v>
      </c>
      <c r="R26" s="403"/>
      <c r="S26" s="404"/>
      <c r="T26" s="405"/>
    </row>
    <row r="27" spans="2:20" s="1" customFormat="1" ht="16.5" customHeight="1">
      <c r="B27" s="6"/>
      <c r="C27" s="15"/>
      <c r="D27" s="33"/>
      <c r="E27" s="37"/>
      <c r="F27" s="7"/>
      <c r="G27" s="22" t="s">
        <v>811</v>
      </c>
      <c r="H27" s="457">
        <v>2</v>
      </c>
      <c r="I27" s="451" t="s">
        <v>49</v>
      </c>
      <c r="J27" s="451">
        <v>4.5</v>
      </c>
      <c r="K27" s="451" t="s">
        <v>49</v>
      </c>
      <c r="L27" s="451">
        <v>-1</v>
      </c>
      <c r="M27" s="451"/>
      <c r="N27" s="451"/>
      <c r="O27" s="451" t="s">
        <v>50</v>
      </c>
      <c r="P27" s="58">
        <f t="shared" si="0"/>
        <v>-9</v>
      </c>
      <c r="Q27" s="59"/>
      <c r="R27" s="403"/>
      <c r="S27" s="404"/>
      <c r="T27" s="405"/>
    </row>
    <row r="28" spans="2:20" s="1" customFormat="1" ht="16.5" customHeight="1">
      <c r="B28" s="6"/>
      <c r="C28" s="15"/>
      <c r="D28" s="33"/>
      <c r="E28" s="37"/>
      <c r="F28" s="7"/>
      <c r="G28" s="22" t="s">
        <v>812</v>
      </c>
      <c r="H28" s="457">
        <v>2</v>
      </c>
      <c r="I28" s="451" t="s">
        <v>49</v>
      </c>
      <c r="J28" s="451">
        <v>3</v>
      </c>
      <c r="K28" s="451" t="s">
        <v>49</v>
      </c>
      <c r="L28" s="451">
        <v>-1</v>
      </c>
      <c r="M28" s="451"/>
      <c r="N28" s="451"/>
      <c r="O28" s="451" t="s">
        <v>50</v>
      </c>
      <c r="P28" s="58">
        <f t="shared" si="0"/>
        <v>-6</v>
      </c>
      <c r="Q28" s="59"/>
      <c r="R28" s="403"/>
      <c r="S28" s="404"/>
      <c r="T28" s="405"/>
    </row>
    <row r="29" spans="2:20" s="1" customFormat="1" ht="16.5" customHeight="1">
      <c r="B29" s="6"/>
      <c r="C29" s="15"/>
      <c r="D29" s="33"/>
      <c r="E29" s="37"/>
      <c r="F29" s="7"/>
      <c r="G29" s="22" t="s">
        <v>410</v>
      </c>
      <c r="H29" s="457">
        <v>0.4</v>
      </c>
      <c r="I29" s="451" t="s">
        <v>49</v>
      </c>
      <c r="J29" s="451">
        <v>0.4</v>
      </c>
      <c r="K29" s="451" t="s">
        <v>49</v>
      </c>
      <c r="L29" s="451">
        <v>-117</v>
      </c>
      <c r="M29" s="451"/>
      <c r="N29" s="451"/>
      <c r="O29" s="451" t="s">
        <v>50</v>
      </c>
      <c r="P29" s="58">
        <f t="shared" ref="P29" si="1">H29*J29*L29</f>
        <v>-18.720000000000002</v>
      </c>
      <c r="Q29" s="59"/>
      <c r="R29" s="403"/>
      <c r="S29" s="404"/>
      <c r="T29" s="405"/>
    </row>
    <row r="30" spans="2:20" s="1" customFormat="1" ht="16.5" customHeight="1">
      <c r="B30" s="6"/>
      <c r="C30" s="15"/>
      <c r="D30" s="33"/>
      <c r="E30" s="37"/>
      <c r="F30" s="7"/>
      <c r="G30" s="22"/>
      <c r="H30" s="457"/>
      <c r="I30" s="451"/>
      <c r="J30" s="451"/>
      <c r="K30" s="451"/>
      <c r="L30" s="451"/>
      <c r="M30" s="451"/>
      <c r="N30" s="451"/>
      <c r="O30" s="451"/>
      <c r="P30" s="446">
        <f>SUM(P26:P29)</f>
        <v>4066.28</v>
      </c>
      <c r="Q30" s="59"/>
      <c r="R30" s="403"/>
      <c r="S30" s="404"/>
      <c r="T30" s="405"/>
    </row>
    <row r="31" spans="2:20" s="1" customFormat="1" ht="16.5" customHeight="1">
      <c r="B31" s="6"/>
      <c r="C31" s="15"/>
      <c r="D31" s="33"/>
      <c r="E31" s="37"/>
      <c r="F31" s="7"/>
      <c r="G31" s="22"/>
      <c r="H31" s="390"/>
      <c r="I31" s="78"/>
      <c r="J31" s="57"/>
      <c r="K31" s="78"/>
      <c r="L31" s="57"/>
      <c r="M31" s="78"/>
      <c r="N31" s="57"/>
      <c r="O31" s="79"/>
      <c r="P31" s="61"/>
      <c r="Q31" s="59"/>
      <c r="R31" s="403"/>
      <c r="S31" s="404"/>
      <c r="T31" s="405"/>
    </row>
    <row r="32" spans="2:20" s="1" customFormat="1" ht="16.5" customHeight="1">
      <c r="B32" s="6"/>
      <c r="C32" s="15"/>
      <c r="D32" s="33">
        <f>RAB!D90</f>
        <v>1</v>
      </c>
      <c r="E32" s="37" t="str">
        <f>RAB!E90</f>
        <v>Beton Penahan Roda</v>
      </c>
      <c r="F32" s="7"/>
      <c r="G32" s="22"/>
      <c r="H32" s="390"/>
      <c r="I32" s="78"/>
      <c r="J32" s="57"/>
      <c r="K32" s="78"/>
      <c r="L32" s="57"/>
      <c r="M32" s="78"/>
      <c r="N32" s="57"/>
      <c r="O32" s="79"/>
      <c r="P32" s="61"/>
      <c r="Q32" s="59"/>
      <c r="R32" s="403"/>
      <c r="S32" s="404"/>
      <c r="T32" s="405"/>
    </row>
    <row r="33" spans="2:20" s="1" customFormat="1" ht="16.5" customHeight="1">
      <c r="B33" s="6"/>
      <c r="C33" s="15"/>
      <c r="D33" s="33"/>
      <c r="E33" s="37"/>
      <c r="F33" s="7"/>
      <c r="G33" s="22"/>
      <c r="H33" s="438" t="s">
        <v>394</v>
      </c>
      <c r="I33" s="78"/>
      <c r="J33" s="57"/>
      <c r="K33" s="78"/>
      <c r="L33" s="57">
        <v>16</v>
      </c>
      <c r="M33" s="78" t="s">
        <v>49</v>
      </c>
      <c r="N33" s="57">
        <v>4</v>
      </c>
      <c r="O33" s="78" t="s">
        <v>50</v>
      </c>
      <c r="P33" s="447">
        <f>L33*N33</f>
        <v>64</v>
      </c>
      <c r="Q33" s="413" t="s">
        <v>62</v>
      </c>
      <c r="R33" s="403"/>
      <c r="S33" s="404"/>
      <c r="T33" s="405"/>
    </row>
    <row r="34" spans="2:20" s="1" customFormat="1" ht="16.5" customHeight="1">
      <c r="B34" s="6"/>
      <c r="C34" s="15"/>
      <c r="D34" s="33"/>
      <c r="E34" s="37"/>
      <c r="F34" s="7"/>
      <c r="G34" s="22"/>
      <c r="H34" s="438" t="s">
        <v>397</v>
      </c>
      <c r="I34" s="78"/>
      <c r="J34" s="57"/>
      <c r="K34" s="79"/>
      <c r="L34" s="450">
        <v>2.8</v>
      </c>
      <c r="M34" s="78" t="s">
        <v>49</v>
      </c>
      <c r="N34" s="57">
        <f>P33</f>
        <v>64</v>
      </c>
      <c r="O34" s="78" t="s">
        <v>50</v>
      </c>
      <c r="P34" s="449">
        <f>L34*N34</f>
        <v>179.2</v>
      </c>
      <c r="Q34" s="413" t="s">
        <v>21</v>
      </c>
      <c r="R34" s="403"/>
      <c r="S34" s="404"/>
      <c r="T34" s="405"/>
    </row>
    <row r="35" spans="2:20" s="1" customFormat="1" ht="16.5" customHeight="1">
      <c r="B35" s="6"/>
      <c r="C35" s="15"/>
      <c r="D35" s="33"/>
      <c r="E35" s="37"/>
      <c r="F35" s="7"/>
      <c r="G35" s="22"/>
      <c r="H35" s="390"/>
      <c r="I35" s="78"/>
      <c r="J35" s="57"/>
      <c r="K35" s="79"/>
      <c r="L35" s="57"/>
      <c r="M35" s="78"/>
      <c r="N35" s="57"/>
      <c r="O35" s="79"/>
      <c r="P35" s="61"/>
      <c r="Q35" s="59"/>
      <c r="R35" s="403"/>
      <c r="S35" s="404"/>
      <c r="T35" s="405"/>
    </row>
    <row r="36" spans="2:20" s="1" customFormat="1" ht="16.5" customHeight="1">
      <c r="B36" s="6"/>
      <c r="C36" s="15"/>
      <c r="D36" s="33">
        <f>RAB!D91</f>
        <v>0</v>
      </c>
      <c r="E36" s="37" t="str">
        <f>RAB!E91</f>
        <v>Beton Cor f’c = 14,5 Mpa</v>
      </c>
      <c r="F36" s="7"/>
      <c r="G36" s="22"/>
      <c r="H36" s="390"/>
      <c r="I36" s="78"/>
      <c r="J36" s="57"/>
      <c r="K36" s="79"/>
      <c r="L36" s="60"/>
      <c r="M36" s="79"/>
      <c r="N36" s="60"/>
      <c r="O36" s="78"/>
      <c r="P36" s="61"/>
      <c r="Q36" s="59"/>
      <c r="R36" s="403">
        <f>P38</f>
        <v>5.3759999999999994</v>
      </c>
      <c r="S36" s="404" t="s">
        <v>81</v>
      </c>
      <c r="T36" s="405"/>
    </row>
    <row r="37" spans="2:20" s="1" customFormat="1" ht="16.5" customHeight="1">
      <c r="B37" s="6"/>
      <c r="C37" s="15"/>
      <c r="D37" s="33"/>
      <c r="E37" s="37"/>
      <c r="F37" s="7"/>
      <c r="G37" s="22"/>
      <c r="H37" s="440">
        <v>2.8</v>
      </c>
      <c r="I37" s="78" t="s">
        <v>49</v>
      </c>
      <c r="J37" s="57">
        <v>0.2</v>
      </c>
      <c r="K37" s="78" t="s">
        <v>49</v>
      </c>
      <c r="L37" s="57">
        <v>0.15</v>
      </c>
      <c r="M37" s="78"/>
      <c r="N37" s="57"/>
      <c r="O37" s="78" t="s">
        <v>50</v>
      </c>
      <c r="P37" s="58">
        <f>H37*J37*L37</f>
        <v>8.3999999999999991E-2</v>
      </c>
      <c r="Q37" s="59" t="s">
        <v>81</v>
      </c>
      <c r="R37" s="403"/>
      <c r="S37" s="404"/>
      <c r="T37" s="405"/>
    </row>
    <row r="38" spans="2:20" s="1" customFormat="1" ht="16.5" customHeight="1">
      <c r="B38" s="6"/>
      <c r="C38" s="15"/>
      <c r="D38" s="33"/>
      <c r="E38" s="37"/>
      <c r="F38" s="7"/>
      <c r="G38" s="22" t="s">
        <v>52</v>
      </c>
      <c r="H38" s="390"/>
      <c r="I38" s="78"/>
      <c r="J38" s="57"/>
      <c r="K38" s="78"/>
      <c r="L38" s="57">
        <f>P37</f>
        <v>8.3999999999999991E-2</v>
      </c>
      <c r="M38" s="78" t="s">
        <v>49</v>
      </c>
      <c r="N38" s="448">
        <f>P33</f>
        <v>64</v>
      </c>
      <c r="O38" s="78" t="s">
        <v>50</v>
      </c>
      <c r="P38" s="61">
        <f>L38*N38</f>
        <v>5.3759999999999994</v>
      </c>
      <c r="Q38" s="413" t="s">
        <v>81</v>
      </c>
      <c r="R38" s="403"/>
      <c r="S38" s="404"/>
      <c r="T38" s="405"/>
    </row>
    <row r="39" spans="2:20" s="1" customFormat="1" ht="16.5" customHeight="1">
      <c r="B39" s="6"/>
      <c r="C39" s="15"/>
      <c r="D39" s="33"/>
      <c r="E39" s="37"/>
      <c r="F39" s="7"/>
      <c r="G39" s="22"/>
      <c r="H39" s="390"/>
      <c r="I39" s="78"/>
      <c r="J39" s="57"/>
      <c r="K39" s="78"/>
      <c r="L39" s="57"/>
      <c r="M39" s="78"/>
      <c r="N39" s="57"/>
      <c r="O39" s="79"/>
      <c r="P39" s="61"/>
      <c r="Q39" s="59"/>
      <c r="R39" s="403"/>
      <c r="S39" s="404"/>
      <c r="T39" s="405"/>
    </row>
    <row r="40" spans="2:20" s="1" customFormat="1" ht="16.5" customHeight="1">
      <c r="B40" s="6"/>
      <c r="C40" s="15"/>
      <c r="D40" s="33">
        <f>RAB!D92</f>
        <v>0</v>
      </c>
      <c r="E40" s="37" t="str">
        <f>RAB!E92</f>
        <v>Pembesian Vertical Ø10 - 150mm</v>
      </c>
      <c r="F40" s="7"/>
      <c r="G40" s="22"/>
      <c r="H40" s="390"/>
      <c r="I40" s="78"/>
      <c r="J40" s="57"/>
      <c r="K40" s="78"/>
      <c r="L40" s="57"/>
      <c r="M40" s="78"/>
      <c r="N40" s="57"/>
      <c r="O40" s="79"/>
      <c r="P40" s="61"/>
      <c r="Q40" s="59"/>
      <c r="R40" s="403">
        <f>P43</f>
        <v>220.85504000000003</v>
      </c>
      <c r="S40" s="404" t="s">
        <v>69</v>
      </c>
      <c r="T40" s="405"/>
    </row>
    <row r="41" spans="2:20" s="1" customFormat="1" ht="16.5" customHeight="1">
      <c r="B41" s="6"/>
      <c r="C41" s="15"/>
      <c r="D41" s="33"/>
      <c r="E41" s="37"/>
      <c r="F41" s="7"/>
      <c r="G41" s="23" t="s">
        <v>245</v>
      </c>
      <c r="H41" s="458">
        <v>10</v>
      </c>
      <c r="I41" s="455"/>
      <c r="J41" s="454">
        <f>0.25*((H41/1000)^2)*3.14*7850</f>
        <v>0.61622500000000013</v>
      </c>
      <c r="K41" s="456" t="s">
        <v>63</v>
      </c>
      <c r="L41" s="453"/>
      <c r="M41" s="453"/>
      <c r="N41" s="453"/>
      <c r="O41" s="451"/>
      <c r="P41" s="58"/>
      <c r="Q41" s="452"/>
      <c r="R41" s="452"/>
      <c r="S41" s="404"/>
      <c r="T41" s="405"/>
    </row>
    <row r="42" spans="2:20" s="1" customFormat="1" ht="16.5" customHeight="1">
      <c r="B42" s="6"/>
      <c r="C42" s="15"/>
      <c r="D42" s="33"/>
      <c r="E42" s="37"/>
      <c r="F42" s="7"/>
      <c r="G42" s="22" t="s">
        <v>398</v>
      </c>
      <c r="H42" s="457">
        <f>P34</f>
        <v>179.2</v>
      </c>
      <c r="I42" s="451" t="s">
        <v>49</v>
      </c>
      <c r="J42" s="451">
        <v>2</v>
      </c>
      <c r="K42" s="451"/>
      <c r="L42" s="451"/>
      <c r="M42" s="451"/>
      <c r="N42" s="451"/>
      <c r="O42" s="451" t="s">
        <v>50</v>
      </c>
      <c r="P42" s="58">
        <f>H42*J42</f>
        <v>358.4</v>
      </c>
      <c r="Q42" s="452" t="s">
        <v>3</v>
      </c>
      <c r="R42" s="452"/>
      <c r="S42" s="404"/>
      <c r="T42" s="405"/>
    </row>
    <row r="43" spans="2:20" s="1" customFormat="1" ht="16.5" customHeight="1">
      <c r="B43" s="6"/>
      <c r="C43" s="15"/>
      <c r="D43" s="33"/>
      <c r="E43" s="37"/>
      <c r="F43" s="7"/>
      <c r="G43" s="22" t="s">
        <v>48</v>
      </c>
      <c r="H43" s="459">
        <f>P42</f>
        <v>358.4</v>
      </c>
      <c r="I43" s="451" t="s">
        <v>49</v>
      </c>
      <c r="J43" s="451">
        <f>J41</f>
        <v>0.61622500000000013</v>
      </c>
      <c r="K43" s="451"/>
      <c r="L43" s="451"/>
      <c r="M43" s="451"/>
      <c r="N43" s="451"/>
      <c r="O43" s="451" t="s">
        <v>50</v>
      </c>
      <c r="P43" s="58">
        <f>H43*J43</f>
        <v>220.85504000000003</v>
      </c>
      <c r="Q43" s="452" t="s">
        <v>69</v>
      </c>
      <c r="R43" s="452"/>
      <c r="S43" s="404"/>
      <c r="T43" s="405"/>
    </row>
    <row r="44" spans="2:20" s="1" customFormat="1" ht="16.5" customHeight="1">
      <c r="B44" s="6"/>
      <c r="C44" s="15"/>
      <c r="D44" s="33"/>
      <c r="E44" s="37"/>
      <c r="F44" s="7"/>
      <c r="G44" s="22"/>
      <c r="H44" s="390"/>
      <c r="I44" s="78"/>
      <c r="J44" s="57"/>
      <c r="K44" s="78"/>
      <c r="L44" s="57"/>
      <c r="M44" s="78"/>
      <c r="N44" s="57"/>
      <c r="O44" s="79"/>
      <c r="P44" s="61"/>
      <c r="Q44" s="59"/>
      <c r="R44" s="403"/>
      <c r="S44" s="404"/>
      <c r="T44" s="405"/>
    </row>
    <row r="45" spans="2:20" s="1" customFormat="1" ht="16.5" customHeight="1">
      <c r="B45" s="6"/>
      <c r="C45" s="15"/>
      <c r="D45" s="33">
        <f>RAB!D93</f>
        <v>0</v>
      </c>
      <c r="E45" s="37" t="str">
        <f>RAB!E93</f>
        <v xml:space="preserve">Pembesian Horizontal Ø10 </v>
      </c>
      <c r="F45" s="7"/>
      <c r="G45" s="22"/>
      <c r="H45" s="390"/>
      <c r="I45" s="78"/>
      <c r="J45" s="57"/>
      <c r="K45" s="78"/>
      <c r="L45" s="57"/>
      <c r="M45" s="78"/>
      <c r="N45" s="57"/>
      <c r="O45" s="79"/>
      <c r="P45" s="61"/>
      <c r="Q45" s="59"/>
      <c r="R45" s="403">
        <f>P49</f>
        <v>220.85504000000006</v>
      </c>
      <c r="S45" s="404" t="s">
        <v>69</v>
      </c>
      <c r="T45" s="405"/>
    </row>
    <row r="46" spans="2:20" s="1" customFormat="1" ht="16.5" customHeight="1">
      <c r="B46" s="47"/>
      <c r="C46" s="48"/>
      <c r="D46" s="378"/>
      <c r="E46" s="71"/>
      <c r="F46" s="8"/>
      <c r="G46" s="23" t="s">
        <v>245</v>
      </c>
      <c r="H46" s="458">
        <v>10</v>
      </c>
      <c r="I46" s="455"/>
      <c r="J46" s="454">
        <f>0.25*((H46/1000)^2)*3.14*7850</f>
        <v>0.61622500000000013</v>
      </c>
      <c r="K46" s="456" t="s">
        <v>63</v>
      </c>
      <c r="L46" s="453"/>
      <c r="M46" s="453"/>
      <c r="N46" s="453"/>
      <c r="O46" s="451"/>
      <c r="P46" s="58"/>
      <c r="Q46" s="452"/>
      <c r="R46" s="452"/>
      <c r="S46" s="404"/>
      <c r="T46" s="405"/>
    </row>
    <row r="47" spans="2:20" s="1" customFormat="1" ht="16.5" customHeight="1">
      <c r="B47" s="6"/>
      <c r="C47" s="15"/>
      <c r="D47" s="33"/>
      <c r="E47" s="37"/>
      <c r="F47" s="7"/>
      <c r="G47" s="22" t="s">
        <v>399</v>
      </c>
      <c r="H47" s="457"/>
      <c r="I47" s="451"/>
      <c r="J47" s="451"/>
      <c r="K47" s="451"/>
      <c r="L47" s="451"/>
      <c r="M47" s="451"/>
      <c r="N47" s="451"/>
      <c r="O47" s="451" t="s">
        <v>50</v>
      </c>
      <c r="P47" s="58">
        <v>0.3</v>
      </c>
      <c r="Q47" s="452" t="s">
        <v>3</v>
      </c>
      <c r="R47" s="452"/>
      <c r="S47" s="404"/>
      <c r="T47" s="405"/>
    </row>
    <row r="48" spans="2:20" s="1" customFormat="1" ht="16.5" customHeight="1">
      <c r="B48" s="47"/>
      <c r="C48" s="48"/>
      <c r="D48" s="378"/>
      <c r="E48" s="71"/>
      <c r="F48" s="8"/>
      <c r="G48" s="22" t="s">
        <v>398</v>
      </c>
      <c r="H48" s="457">
        <f>P34</f>
        <v>179.2</v>
      </c>
      <c r="I48" s="451" t="s">
        <v>53</v>
      </c>
      <c r="J48" s="451">
        <v>0.15</v>
      </c>
      <c r="K48" s="451"/>
      <c r="L48" s="451"/>
      <c r="M48" s="451"/>
      <c r="N48" s="451"/>
      <c r="O48" s="451" t="s">
        <v>50</v>
      </c>
      <c r="P48" s="58">
        <f>H48/J48</f>
        <v>1194.6666666666667</v>
      </c>
      <c r="Q48" s="452" t="s">
        <v>23</v>
      </c>
      <c r="R48" s="452"/>
      <c r="S48" s="404"/>
      <c r="T48" s="405"/>
    </row>
    <row r="49" spans="2:20" s="1" customFormat="1" ht="16.5" customHeight="1">
      <c r="B49" s="47"/>
      <c r="C49" s="48"/>
      <c r="D49" s="378"/>
      <c r="E49" s="71"/>
      <c r="F49" s="8"/>
      <c r="G49" s="22" t="s">
        <v>48</v>
      </c>
      <c r="H49" s="459">
        <f>P47</f>
        <v>0.3</v>
      </c>
      <c r="I49" s="451" t="s">
        <v>49</v>
      </c>
      <c r="J49" s="451">
        <f>P48</f>
        <v>1194.6666666666667</v>
      </c>
      <c r="K49" s="451" t="s">
        <v>49</v>
      </c>
      <c r="L49" s="451">
        <f>J46</f>
        <v>0.61622500000000013</v>
      </c>
      <c r="M49" s="451"/>
      <c r="N49" s="451"/>
      <c r="O49" s="451" t="s">
        <v>50</v>
      </c>
      <c r="P49" s="58">
        <f>H49*J49*L49</f>
        <v>220.85504000000006</v>
      </c>
      <c r="Q49" s="452" t="s">
        <v>69</v>
      </c>
      <c r="R49" s="452"/>
      <c r="S49" s="404"/>
      <c r="T49" s="405"/>
    </row>
    <row r="50" spans="2:20" s="1" customFormat="1" ht="16.5" customHeight="1">
      <c r="B50" s="47"/>
      <c r="C50" s="48"/>
      <c r="D50" s="378"/>
      <c r="E50" s="71"/>
      <c r="F50" s="8"/>
      <c r="G50" s="22"/>
      <c r="H50" s="390"/>
      <c r="I50" s="78"/>
      <c r="J50" s="57"/>
      <c r="K50" s="78"/>
      <c r="L50" s="57"/>
      <c r="M50" s="78"/>
      <c r="N50" s="57"/>
      <c r="O50" s="79"/>
      <c r="P50" s="61"/>
      <c r="Q50" s="59"/>
      <c r="R50" s="403"/>
      <c r="S50" s="404"/>
      <c r="T50" s="405"/>
    </row>
    <row r="51" spans="2:20" s="1" customFormat="1" ht="16.5" customHeight="1">
      <c r="B51" s="47"/>
      <c r="C51" s="48"/>
      <c r="D51" s="378">
        <f>RAB!D94</f>
        <v>0</v>
      </c>
      <c r="E51" s="71" t="str">
        <f>RAB!E94</f>
        <v>Bekisting</v>
      </c>
      <c r="F51" s="9"/>
      <c r="G51" s="22"/>
      <c r="H51" s="390"/>
      <c r="I51" s="410"/>
      <c r="J51" s="57"/>
      <c r="K51" s="57"/>
      <c r="L51" s="57"/>
      <c r="M51" s="57"/>
      <c r="N51" s="57"/>
      <c r="O51" s="57"/>
      <c r="P51" s="57"/>
      <c r="Q51" s="59"/>
      <c r="R51" s="409">
        <f>P52</f>
        <v>89.6</v>
      </c>
      <c r="S51" s="411" t="s">
        <v>133</v>
      </c>
      <c r="T51" s="405"/>
    </row>
    <row r="52" spans="2:20" s="1" customFormat="1" ht="16.5" customHeight="1">
      <c r="B52" s="47"/>
      <c r="C52" s="48"/>
      <c r="D52" s="378"/>
      <c r="E52" s="71"/>
      <c r="F52" s="9"/>
      <c r="G52" s="22"/>
      <c r="H52" s="390">
        <f>P34</f>
        <v>179.2</v>
      </c>
      <c r="I52" s="410" t="s">
        <v>49</v>
      </c>
      <c r="J52" s="57">
        <v>0.25</v>
      </c>
      <c r="K52" s="451" t="s">
        <v>49</v>
      </c>
      <c r="L52" s="451">
        <v>2</v>
      </c>
      <c r="M52" s="451"/>
      <c r="N52" s="451"/>
      <c r="O52" s="451" t="s">
        <v>50</v>
      </c>
      <c r="P52" s="58">
        <f>H52*J52*L52</f>
        <v>89.6</v>
      </c>
      <c r="Q52" s="452" t="s">
        <v>133</v>
      </c>
      <c r="R52" s="409"/>
      <c r="S52" s="411"/>
      <c r="T52" s="405"/>
    </row>
    <row r="53" spans="2:20" s="1" customFormat="1" ht="16.5" customHeight="1">
      <c r="B53" s="47"/>
      <c r="C53" s="48"/>
      <c r="D53" s="378"/>
      <c r="E53" s="71"/>
      <c r="F53" s="9"/>
      <c r="G53" s="22"/>
      <c r="H53" s="390"/>
      <c r="I53" s="410"/>
      <c r="J53" s="57"/>
      <c r="K53" s="57"/>
      <c r="L53" s="57"/>
      <c r="M53" s="57"/>
      <c r="N53" s="57"/>
      <c r="O53" s="57"/>
      <c r="P53" s="57"/>
      <c r="Q53" s="59"/>
      <c r="R53" s="409"/>
      <c r="S53" s="411"/>
      <c r="T53" s="405"/>
    </row>
    <row r="54" spans="2:20" s="1" customFormat="1" ht="16.5" customHeight="1">
      <c r="B54" s="47"/>
      <c r="C54" s="48"/>
      <c r="D54" s="378"/>
      <c r="E54" s="71"/>
      <c r="F54" s="9"/>
      <c r="G54" s="22"/>
      <c r="H54" s="390"/>
      <c r="I54" s="410"/>
      <c r="J54" s="57"/>
      <c r="K54" s="57"/>
      <c r="L54" s="57"/>
      <c r="M54" s="57"/>
      <c r="N54" s="57"/>
      <c r="O54" s="57"/>
      <c r="P54" s="57"/>
      <c r="Q54" s="59"/>
      <c r="R54" s="409"/>
      <c r="S54" s="411"/>
      <c r="T54" s="405"/>
    </row>
    <row r="55" spans="2:20" s="1" customFormat="1" ht="16.5" customHeight="1">
      <c r="B55" s="47"/>
      <c r="C55" s="48"/>
      <c r="D55" s="378">
        <f>RAB!D95</f>
        <v>2</v>
      </c>
      <c r="E55" s="71" t="str">
        <f>RAB!E95</f>
        <v>Cor Lantai T=7cm Beton Cor f’c = 19,3 Mpa (K225)</v>
      </c>
      <c r="F55" s="9"/>
      <c r="G55" s="22"/>
      <c r="H55" s="391"/>
      <c r="I55" s="78"/>
      <c r="J55" s="57"/>
      <c r="K55" s="78"/>
      <c r="L55" s="57"/>
      <c r="M55" s="78"/>
      <c r="N55" s="57"/>
      <c r="O55" s="78"/>
      <c r="P55" s="61"/>
      <c r="Q55" s="59"/>
      <c r="R55" s="29">
        <f>P56</f>
        <v>284.63960000000003</v>
      </c>
      <c r="S55" s="68" t="str">
        <f>Q56</f>
        <v>M3</v>
      </c>
      <c r="T55" s="405"/>
    </row>
    <row r="56" spans="2:20" s="1" customFormat="1" ht="16.5" customHeight="1">
      <c r="B56" s="47"/>
      <c r="C56" s="48"/>
      <c r="D56" s="378"/>
      <c r="E56" s="71"/>
      <c r="F56" s="9"/>
      <c r="G56" s="22"/>
      <c r="H56" s="446">
        <f>P30</f>
        <v>4066.28</v>
      </c>
      <c r="I56" s="78" t="s">
        <v>49</v>
      </c>
      <c r="J56" s="57">
        <v>7.0000000000000007E-2</v>
      </c>
      <c r="K56" s="78"/>
      <c r="L56" s="57"/>
      <c r="M56" s="78"/>
      <c r="N56" s="57"/>
      <c r="O56" s="78" t="s">
        <v>50</v>
      </c>
      <c r="P56" s="58">
        <f>H56*J56</f>
        <v>284.63960000000003</v>
      </c>
      <c r="Q56" s="59" t="s">
        <v>81</v>
      </c>
      <c r="R56" s="403"/>
      <c r="S56" s="404"/>
      <c r="T56" s="405"/>
    </row>
    <row r="57" spans="2:20" s="1" customFormat="1" ht="16.5" customHeight="1">
      <c r="B57" s="47"/>
      <c r="C57" s="48"/>
      <c r="D57" s="378"/>
      <c r="E57" s="71"/>
      <c r="F57" s="9"/>
      <c r="G57" s="22"/>
      <c r="H57" s="390"/>
      <c r="I57" s="410"/>
      <c r="J57" s="57"/>
      <c r="K57" s="57"/>
      <c r="L57" s="57"/>
      <c r="M57" s="78"/>
      <c r="N57" s="57"/>
      <c r="O57" s="79"/>
      <c r="P57" s="61"/>
      <c r="Q57" s="59"/>
      <c r="R57" s="409"/>
      <c r="S57" s="411"/>
      <c r="T57" s="405"/>
    </row>
    <row r="58" spans="2:20" s="1" customFormat="1" ht="16.5" customHeight="1">
      <c r="B58" s="47"/>
      <c r="C58" s="48"/>
      <c r="D58" s="378">
        <f>RAB!D96</f>
        <v>3</v>
      </c>
      <c r="E58" s="71" t="str">
        <f>RAB!E96</f>
        <v>Pembesian Waremesh M6 1 Lapis</v>
      </c>
      <c r="F58" s="9"/>
      <c r="G58" s="22"/>
      <c r="H58" s="390"/>
      <c r="I58" s="57"/>
      <c r="J58" s="412"/>
      <c r="K58" s="57"/>
      <c r="L58" s="57"/>
      <c r="M58" s="78"/>
      <c r="N58" s="57"/>
      <c r="O58" s="79"/>
      <c r="P58" s="61"/>
      <c r="Q58" s="59"/>
      <c r="R58" s="409">
        <f>P61</f>
        <v>4066.28</v>
      </c>
      <c r="S58" s="411" t="s">
        <v>133</v>
      </c>
      <c r="T58" s="405"/>
    </row>
    <row r="59" spans="2:20" s="1" customFormat="1" ht="16.5" customHeight="1">
      <c r="B59" s="47"/>
      <c r="C59" s="48"/>
      <c r="D59" s="378"/>
      <c r="E59" s="71"/>
      <c r="F59" s="9"/>
      <c r="G59" s="22"/>
      <c r="H59" s="438" t="s">
        <v>405</v>
      </c>
      <c r="I59" s="57"/>
      <c r="J59" s="412"/>
      <c r="K59" s="57"/>
      <c r="L59" s="57"/>
      <c r="M59" s="78"/>
      <c r="N59" s="57"/>
      <c r="O59" s="79" t="s">
        <v>50</v>
      </c>
      <c r="P59" s="462">
        <v>5.45</v>
      </c>
      <c r="Q59" s="59"/>
      <c r="R59" s="409"/>
      <c r="S59" s="411"/>
      <c r="T59" s="405"/>
    </row>
    <row r="60" spans="2:20" s="1" customFormat="1" ht="16.5" customHeight="1">
      <c r="B60" s="47"/>
      <c r="C60" s="48"/>
      <c r="D60" s="378"/>
      <c r="E60" s="71"/>
      <c r="F60" s="9"/>
      <c r="G60" s="22"/>
      <c r="H60" s="438" t="s">
        <v>685</v>
      </c>
      <c r="I60" s="57"/>
      <c r="J60" s="412"/>
      <c r="K60" s="57"/>
      <c r="L60" s="57"/>
      <c r="M60" s="78"/>
      <c r="N60" s="57"/>
      <c r="O60" s="79" t="s">
        <v>50</v>
      </c>
      <c r="P60" s="462">
        <v>3.07</v>
      </c>
      <c r="Q60" s="59"/>
      <c r="R60" s="409"/>
      <c r="S60" s="411"/>
      <c r="T60" s="405"/>
    </row>
    <row r="61" spans="2:20" s="1" customFormat="1" ht="16.5" customHeight="1">
      <c r="B61" s="47"/>
      <c r="C61" s="48"/>
      <c r="D61" s="378"/>
      <c r="E61" s="71"/>
      <c r="F61" s="9"/>
      <c r="G61" s="22"/>
      <c r="H61" s="446">
        <f>P30</f>
        <v>4066.28</v>
      </c>
      <c r="I61" s="57" t="s">
        <v>49</v>
      </c>
      <c r="J61" s="412">
        <v>1</v>
      </c>
      <c r="K61" s="57"/>
      <c r="L61" s="57"/>
      <c r="M61" s="78"/>
      <c r="N61" s="57"/>
      <c r="O61" s="79" t="s">
        <v>50</v>
      </c>
      <c r="P61" s="61">
        <f>H61*J61</f>
        <v>4066.28</v>
      </c>
      <c r="Q61" s="59" t="s">
        <v>133</v>
      </c>
      <c r="R61" s="409"/>
      <c r="S61" s="411"/>
      <c r="T61" s="405"/>
    </row>
    <row r="62" spans="2:20" s="1" customFormat="1" ht="16.5" customHeight="1">
      <c r="B62" s="47"/>
      <c r="C62" s="48"/>
      <c r="D62" s="378"/>
      <c r="E62" s="71"/>
      <c r="F62" s="9"/>
      <c r="G62" s="22"/>
      <c r="H62" s="390"/>
      <c r="I62" s="57"/>
      <c r="J62" s="412"/>
      <c r="K62" s="57"/>
      <c r="L62" s="57"/>
      <c r="M62" s="78"/>
      <c r="N62" s="57"/>
      <c r="O62" s="79"/>
      <c r="P62" s="61"/>
      <c r="Q62" s="59"/>
      <c r="R62" s="409"/>
      <c r="S62" s="411"/>
      <c r="T62" s="405"/>
    </row>
    <row r="63" spans="2:20" s="1" customFormat="1" ht="16.5" customHeight="1">
      <c r="B63" s="47"/>
      <c r="C63" s="48"/>
      <c r="D63" s="378"/>
      <c r="E63" s="71"/>
      <c r="F63" s="9"/>
      <c r="G63" s="22"/>
      <c r="H63" s="390">
        <f>P61</f>
        <v>4066.28</v>
      </c>
      <c r="I63" s="57" t="s">
        <v>49</v>
      </c>
      <c r="J63" s="412">
        <f>P60</f>
        <v>3.07</v>
      </c>
      <c r="K63" s="57"/>
      <c r="L63" s="57"/>
      <c r="M63" s="78"/>
      <c r="N63" s="57"/>
      <c r="O63" s="79" t="s">
        <v>50</v>
      </c>
      <c r="P63" s="61">
        <f>H63*J63</f>
        <v>12483.479600000001</v>
      </c>
      <c r="Q63" s="413" t="s">
        <v>69</v>
      </c>
      <c r="R63" s="409"/>
      <c r="S63" s="411"/>
      <c r="T63" s="405"/>
    </row>
    <row r="64" spans="2:20" s="1" customFormat="1" ht="16.5" customHeight="1">
      <c r="B64" s="47"/>
      <c r="C64" s="48"/>
      <c r="D64" s="378"/>
      <c r="E64" s="71"/>
      <c r="F64" s="9"/>
      <c r="G64" s="22"/>
      <c r="H64" s="390"/>
      <c r="I64" s="57"/>
      <c r="J64" s="412"/>
      <c r="K64" s="57"/>
      <c r="L64" s="57"/>
      <c r="M64" s="78"/>
      <c r="N64" s="57"/>
      <c r="O64" s="79"/>
      <c r="P64" s="61"/>
      <c r="Q64" s="59"/>
      <c r="R64" s="409"/>
      <c r="S64" s="411"/>
      <c r="T64" s="405"/>
    </row>
    <row r="65" spans="2:23" s="1" customFormat="1" ht="16.5" customHeight="1">
      <c r="B65" s="381"/>
      <c r="C65" s="465" t="str">
        <f>RAB!C99</f>
        <v>III</v>
      </c>
      <c r="D65" s="382" t="str">
        <f>RAB!D99</f>
        <v xml:space="preserve">PEKERJAAN DINDING &amp; PLESTERAN </v>
      </c>
      <c r="E65" s="383"/>
      <c r="F65" s="383"/>
      <c r="G65" s="384"/>
      <c r="H65" s="400"/>
      <c r="I65" s="385"/>
      <c r="J65" s="389"/>
      <c r="K65" s="385"/>
      <c r="L65" s="389"/>
      <c r="M65" s="385"/>
      <c r="N65" s="389"/>
      <c r="O65" s="385"/>
      <c r="P65" s="466"/>
      <c r="Q65" s="467"/>
      <c r="R65" s="386"/>
      <c r="S65" s="387"/>
    </row>
    <row r="66" spans="2:23" s="1" customFormat="1" ht="16.5" customHeight="1">
      <c r="B66" s="6"/>
      <c r="C66" s="15"/>
      <c r="D66" s="33">
        <f>RAB!D100</f>
        <v>1</v>
      </c>
      <c r="E66" s="37" t="str">
        <f>RAB!E100</f>
        <v>Pekerjaan Sisip Plasteran Dinding 1:4</v>
      </c>
      <c r="F66" s="7"/>
      <c r="G66" s="22"/>
      <c r="H66" s="390"/>
      <c r="I66" s="410"/>
      <c r="J66" s="57"/>
      <c r="K66" s="57"/>
      <c r="L66" s="57"/>
      <c r="M66" s="57"/>
      <c r="N66" s="57"/>
      <c r="O66" s="57"/>
      <c r="P66" s="57"/>
      <c r="Q66" s="59"/>
      <c r="R66" s="409">
        <f>P67</f>
        <v>30.5</v>
      </c>
      <c r="S66" s="411" t="s">
        <v>133</v>
      </c>
      <c r="T66" s="405"/>
    </row>
    <row r="67" spans="2:23" s="1" customFormat="1" ht="16.5" customHeight="1">
      <c r="B67" s="6"/>
      <c r="C67" s="15"/>
      <c r="D67" s="33"/>
      <c r="E67" s="37"/>
      <c r="F67" s="7"/>
      <c r="G67" s="22"/>
      <c r="H67" s="390">
        <v>0.5</v>
      </c>
      <c r="I67" s="410" t="s">
        <v>49</v>
      </c>
      <c r="J67" s="57">
        <v>0.5</v>
      </c>
      <c r="K67" s="451" t="s">
        <v>49</v>
      </c>
      <c r="L67" s="451">
        <f>L124</f>
        <v>122</v>
      </c>
      <c r="M67" s="451"/>
      <c r="N67" s="451"/>
      <c r="O67" s="451" t="s">
        <v>50</v>
      </c>
      <c r="P67" s="58">
        <f>H67*J67*L67</f>
        <v>30.5</v>
      </c>
      <c r="Q67" s="452" t="s">
        <v>133</v>
      </c>
      <c r="R67" s="409"/>
      <c r="S67" s="411"/>
      <c r="T67" s="405"/>
    </row>
    <row r="68" spans="2:23" s="1" customFormat="1" ht="16.5" customHeight="1">
      <c r="B68" s="6"/>
      <c r="C68" s="15"/>
      <c r="D68" s="33">
        <f>RAB!D101</f>
        <v>2</v>
      </c>
      <c r="E68" s="37" t="str">
        <f>RAB!E101</f>
        <v>Pekerjaan Sisip Acian kolom</v>
      </c>
      <c r="F68" s="7"/>
      <c r="G68" s="22"/>
      <c r="H68" s="390"/>
      <c r="I68" s="410"/>
      <c r="J68" s="57"/>
      <c r="K68" s="57"/>
      <c r="L68" s="57"/>
      <c r="M68" s="57"/>
      <c r="N68" s="57"/>
      <c r="O68" s="57"/>
      <c r="P68" s="57"/>
      <c r="Q68" s="59"/>
      <c r="R68" s="409">
        <f>R66</f>
        <v>30.5</v>
      </c>
      <c r="S68" s="411" t="s">
        <v>133</v>
      </c>
      <c r="T68" s="405"/>
    </row>
    <row r="69" spans="2:23" s="1" customFormat="1" ht="16.5" customHeight="1">
      <c r="B69" s="6"/>
      <c r="C69" s="15"/>
      <c r="D69" s="33"/>
      <c r="E69" s="37"/>
      <c r="F69" s="7"/>
      <c r="G69" s="22"/>
      <c r="H69" s="390"/>
      <c r="I69" s="410"/>
      <c r="J69" s="57"/>
      <c r="K69" s="451"/>
      <c r="L69" s="451"/>
      <c r="M69" s="451"/>
      <c r="N69" s="451"/>
      <c r="O69" s="451"/>
      <c r="P69" s="58"/>
      <c r="Q69" s="452"/>
      <c r="R69" s="409"/>
      <c r="S69" s="411"/>
      <c r="T69" s="405"/>
      <c r="V69" s="755">
        <f>RAB!L96</f>
        <v>65637.046582892421</v>
      </c>
      <c r="W69" s="755">
        <f>V69*P60</f>
        <v>201505.73300947971</v>
      </c>
    </row>
    <row r="70" spans="2:23" s="1" customFormat="1" ht="16.5" customHeight="1">
      <c r="B70" s="47"/>
      <c r="C70" s="48"/>
      <c r="D70" s="378"/>
      <c r="E70" s="71"/>
      <c r="F70" s="9"/>
      <c r="G70" s="22"/>
      <c r="H70" s="390"/>
      <c r="I70" s="57"/>
      <c r="J70" s="57"/>
      <c r="K70" s="57"/>
      <c r="L70" s="57"/>
      <c r="M70" s="57"/>
      <c r="N70" s="57"/>
      <c r="O70" s="57"/>
      <c r="P70" s="60"/>
      <c r="Q70" s="413"/>
      <c r="R70" s="409"/>
      <c r="S70" s="411"/>
      <c r="T70" s="405"/>
    </row>
    <row r="71" spans="2:23" s="1" customFormat="1" ht="16.5" customHeight="1">
      <c r="B71" s="381"/>
      <c r="C71" s="465" t="str">
        <f>RAB!C104</f>
        <v>IV</v>
      </c>
      <c r="D71" s="382" t="str">
        <f>RAB!D104</f>
        <v>PEKERJAAN LANTAI</v>
      </c>
      <c r="E71" s="383"/>
      <c r="F71" s="383"/>
      <c r="G71" s="384"/>
      <c r="H71" s="400"/>
      <c r="I71" s="385"/>
      <c r="J71" s="389"/>
      <c r="K71" s="385"/>
      <c r="L71" s="389"/>
      <c r="M71" s="385"/>
      <c r="N71" s="389"/>
      <c r="O71" s="385"/>
      <c r="P71" s="466"/>
      <c r="Q71" s="467"/>
      <c r="R71" s="386"/>
      <c r="S71" s="387"/>
    </row>
    <row r="72" spans="2:23" s="1" customFormat="1" ht="16.5" customHeight="1">
      <c r="B72" s="6"/>
      <c r="C72" s="15"/>
      <c r="D72" s="33">
        <f>RAB!D105</f>
        <v>1</v>
      </c>
      <c r="E72" s="37" t="str">
        <f>RAB!E105</f>
        <v>Acian Lantai (Screed Lantai Beton sistem trowel)</v>
      </c>
      <c r="F72" s="7"/>
      <c r="G72" s="22"/>
      <c r="H72" s="390"/>
      <c r="I72" s="78"/>
      <c r="J72" s="57"/>
      <c r="K72" s="78"/>
      <c r="L72" s="57"/>
      <c r="M72" s="78"/>
      <c r="N72" s="57"/>
      <c r="O72" s="79"/>
      <c r="P72" s="61"/>
      <c r="Q72" s="59"/>
      <c r="R72" s="403">
        <f>H56</f>
        <v>4066.28</v>
      </c>
      <c r="S72" s="406" t="s">
        <v>133</v>
      </c>
      <c r="T72" s="405"/>
    </row>
    <row r="73" spans="2:23" s="1" customFormat="1" ht="16.5" customHeight="1">
      <c r="B73" s="6"/>
      <c r="C73" s="15"/>
      <c r="D73" s="33">
        <f>RAB!D106</f>
        <v>2</v>
      </c>
      <c r="E73" s="37" t="str">
        <f>RAB!E106</f>
        <v>Lapisan Cat Epoxy Lantai 1000 Micron</v>
      </c>
      <c r="F73" s="7"/>
      <c r="G73" s="22"/>
      <c r="H73" s="390"/>
      <c r="I73" s="78"/>
      <c r="J73" s="57"/>
      <c r="K73" s="78"/>
      <c r="L73" s="57"/>
      <c r="M73" s="78"/>
      <c r="N73" s="57"/>
      <c r="O73" s="79"/>
      <c r="P73" s="61"/>
      <c r="Q73" s="59"/>
      <c r="R73" s="403">
        <f>P77</f>
        <v>2355</v>
      </c>
      <c r="S73" s="406" t="s">
        <v>133</v>
      </c>
      <c r="T73" s="405"/>
    </row>
    <row r="74" spans="2:23" s="1" customFormat="1" ht="16.5" customHeight="1">
      <c r="B74" s="6"/>
      <c r="C74" s="731"/>
      <c r="D74" s="33"/>
      <c r="E74" s="37"/>
      <c r="F74" s="7"/>
      <c r="G74" s="22" t="s">
        <v>942</v>
      </c>
      <c r="H74" s="390">
        <v>558</v>
      </c>
      <c r="I74" s="410" t="s">
        <v>49</v>
      </c>
      <c r="J74" s="57">
        <v>1</v>
      </c>
      <c r="K74" s="451"/>
      <c r="L74" s="451"/>
      <c r="M74" s="451"/>
      <c r="N74" s="451"/>
      <c r="O74" s="451" t="s">
        <v>50</v>
      </c>
      <c r="P74" s="58">
        <f>H74*J74</f>
        <v>558</v>
      </c>
      <c r="Q74" s="452" t="s">
        <v>133</v>
      </c>
      <c r="R74" s="403"/>
      <c r="S74" s="406"/>
      <c r="T74" s="405"/>
    </row>
    <row r="75" spans="2:23" s="1" customFormat="1" ht="16.5" customHeight="1">
      <c r="B75" s="6"/>
      <c r="C75" s="731"/>
      <c r="D75" s="33"/>
      <c r="E75" s="37"/>
      <c r="F75" s="7"/>
      <c r="G75" s="22" t="s">
        <v>942</v>
      </c>
      <c r="H75" s="390">
        <v>573</v>
      </c>
      <c r="I75" s="410" t="s">
        <v>49</v>
      </c>
      <c r="J75" s="57">
        <v>1</v>
      </c>
      <c r="K75" s="451"/>
      <c r="L75" s="451"/>
      <c r="M75" s="451"/>
      <c r="N75" s="451"/>
      <c r="O75" s="451" t="s">
        <v>50</v>
      </c>
      <c r="P75" s="58">
        <f t="shared" ref="P75:P76" si="2">H75*J75</f>
        <v>573</v>
      </c>
      <c r="Q75" s="452" t="s">
        <v>133</v>
      </c>
      <c r="R75" s="403"/>
      <c r="S75" s="406"/>
      <c r="T75" s="405"/>
    </row>
    <row r="76" spans="2:23" s="1" customFormat="1" ht="16.5" customHeight="1">
      <c r="B76" s="6"/>
      <c r="C76" s="731"/>
      <c r="D76" s="33"/>
      <c r="E76" s="37"/>
      <c r="F76" s="7"/>
      <c r="G76" s="22" t="s">
        <v>790</v>
      </c>
      <c r="H76" s="390">
        <v>612</v>
      </c>
      <c r="I76" s="410" t="s">
        <v>49</v>
      </c>
      <c r="J76" s="57">
        <v>2</v>
      </c>
      <c r="K76" s="451"/>
      <c r="L76" s="451"/>
      <c r="M76" s="451"/>
      <c r="N76" s="451"/>
      <c r="O76" s="451" t="s">
        <v>50</v>
      </c>
      <c r="P76" s="58">
        <f t="shared" si="2"/>
        <v>1224</v>
      </c>
      <c r="Q76" s="452" t="s">
        <v>133</v>
      </c>
      <c r="R76" s="403"/>
      <c r="S76" s="406"/>
      <c r="T76" s="405"/>
    </row>
    <row r="77" spans="2:23" s="1" customFormat="1" ht="16.5" customHeight="1">
      <c r="B77" s="6"/>
      <c r="C77" s="731"/>
      <c r="D77" s="33"/>
      <c r="E77" s="37"/>
      <c r="F77" s="7"/>
      <c r="G77" s="22"/>
      <c r="H77" s="733"/>
      <c r="I77" s="78"/>
      <c r="J77" s="57"/>
      <c r="K77" s="78"/>
      <c r="L77" s="57"/>
      <c r="M77" s="78"/>
      <c r="N77" s="57"/>
      <c r="O77" s="451" t="s">
        <v>50</v>
      </c>
      <c r="P77" s="61">
        <f>SUM(P74:P76)</f>
        <v>2355</v>
      </c>
      <c r="Q77" s="1135" t="s">
        <v>133</v>
      </c>
      <c r="R77" s="403"/>
      <c r="S77" s="406"/>
      <c r="T77" s="405"/>
    </row>
    <row r="78" spans="2:23" s="1" customFormat="1" ht="16.5" customHeight="1">
      <c r="B78" s="6"/>
      <c r="C78" s="731"/>
      <c r="D78" s="33"/>
      <c r="E78" s="37"/>
      <c r="F78" s="7"/>
      <c r="G78" s="22"/>
      <c r="H78" s="733"/>
      <c r="I78" s="78"/>
      <c r="J78" s="57"/>
      <c r="K78" s="78"/>
      <c r="L78" s="57"/>
      <c r="M78" s="78"/>
      <c r="N78" s="57"/>
      <c r="O78" s="79"/>
      <c r="P78" s="61"/>
      <c r="Q78" s="59"/>
      <c r="R78" s="403"/>
      <c r="S78" s="406"/>
      <c r="T78" s="405"/>
    </row>
    <row r="79" spans="2:23" s="1" customFormat="1" ht="16.5" customHeight="1">
      <c r="B79" s="6"/>
      <c r="C79" s="15"/>
      <c r="D79" s="33">
        <f>RAB!D107</f>
        <v>3</v>
      </c>
      <c r="E79" s="37" t="str">
        <f>RAB!E107</f>
        <v>Lapisan Cat Epoxy 500 Micron Rambu Parkir</v>
      </c>
      <c r="F79" s="7"/>
      <c r="G79" s="22"/>
      <c r="H79" s="390"/>
      <c r="I79" s="78"/>
      <c r="J79" s="57"/>
      <c r="K79" s="78"/>
      <c r="L79" s="57"/>
      <c r="M79" s="78"/>
      <c r="N79" s="57"/>
      <c r="O79" s="79"/>
      <c r="P79" s="61"/>
      <c r="Q79" s="59"/>
      <c r="R79" s="403">
        <f>L81</f>
        <v>236.18000000000004</v>
      </c>
      <c r="S79" s="406" t="s">
        <v>133</v>
      </c>
      <c r="T79" s="405"/>
    </row>
    <row r="80" spans="2:23" s="1" customFormat="1" ht="16.5" customHeight="1">
      <c r="B80" s="6"/>
      <c r="C80" s="15"/>
      <c r="D80" s="33"/>
      <c r="E80" s="37"/>
      <c r="F80" s="7"/>
      <c r="G80" s="22"/>
      <c r="H80" s="392"/>
      <c r="I80" s="460"/>
      <c r="J80" s="461"/>
      <c r="K80" s="460"/>
      <c r="L80" s="461"/>
      <c r="M80" s="78"/>
      <c r="N80" s="57"/>
      <c r="O80" s="79"/>
      <c r="P80" s="61"/>
      <c r="Q80" s="59"/>
      <c r="R80" s="403"/>
      <c r="S80" s="406"/>
      <c r="T80" s="405"/>
    </row>
    <row r="81" spans="2:20" s="1" customFormat="1" ht="16.5" customHeight="1">
      <c r="B81" s="6"/>
      <c r="C81" s="15"/>
      <c r="D81" s="33"/>
      <c r="E81" s="37"/>
      <c r="F81" s="7"/>
      <c r="G81" s="22"/>
      <c r="H81" s="392">
        <f>P108</f>
        <v>2361.8000000000002</v>
      </c>
      <c r="I81" s="460" t="s">
        <v>49</v>
      </c>
      <c r="J81" s="461">
        <v>0.1</v>
      </c>
      <c r="K81" s="78" t="s">
        <v>50</v>
      </c>
      <c r="L81" s="58">
        <f>H81*J81</f>
        <v>236.18000000000004</v>
      </c>
      <c r="M81" s="78"/>
      <c r="N81" s="57"/>
      <c r="O81" s="79"/>
      <c r="P81" s="61"/>
      <c r="Q81" s="59"/>
      <c r="R81" s="403"/>
      <c r="S81" s="406"/>
      <c r="T81" s="405"/>
    </row>
    <row r="82" spans="2:20" s="1" customFormat="1" ht="16.5" customHeight="1">
      <c r="B82" s="6"/>
      <c r="C82" s="15"/>
      <c r="D82" s="33"/>
      <c r="E82" s="37"/>
      <c r="F82" s="7"/>
      <c r="G82" s="22"/>
      <c r="H82" s="392"/>
      <c r="I82" s="460"/>
      <c r="J82" s="461"/>
      <c r="K82" s="460"/>
      <c r="L82" s="461"/>
      <c r="M82" s="78"/>
      <c r="N82" s="57"/>
      <c r="O82" s="79"/>
      <c r="P82" s="61"/>
      <c r="Q82" s="59"/>
      <c r="R82" s="403"/>
      <c r="S82" s="406"/>
      <c r="T82" s="405"/>
    </row>
    <row r="83" spans="2:20" s="1" customFormat="1" ht="16.5" customHeight="1">
      <c r="B83" s="6"/>
      <c r="C83" s="731"/>
      <c r="D83" s="33"/>
      <c r="E83" s="37"/>
      <c r="F83" s="7"/>
      <c r="G83" s="70"/>
      <c r="H83" s="737" t="s">
        <v>793</v>
      </c>
      <c r="I83" s="735"/>
      <c r="J83" s="735" t="s">
        <v>51</v>
      </c>
      <c r="K83" s="736"/>
      <c r="L83" s="735" t="s">
        <v>52</v>
      </c>
      <c r="M83" s="417"/>
      <c r="N83" s="416"/>
      <c r="O83" s="418"/>
      <c r="P83" s="422"/>
      <c r="Q83" s="420"/>
      <c r="R83" s="403"/>
      <c r="S83" s="407"/>
      <c r="T83" s="405"/>
    </row>
    <row r="84" spans="2:20" s="1" customFormat="1" ht="16.5" customHeight="1">
      <c r="B84" s="6"/>
      <c r="C84" s="15"/>
      <c r="D84" s="33"/>
      <c r="E84" s="37"/>
      <c r="F84" s="7" t="s">
        <v>413</v>
      </c>
      <c r="G84" s="70"/>
      <c r="H84" s="392">
        <v>1</v>
      </c>
      <c r="I84" s="460" t="s">
        <v>49</v>
      </c>
      <c r="J84" s="739">
        <f>L87</f>
        <v>6</v>
      </c>
      <c r="K84" s="460" t="s">
        <v>49</v>
      </c>
      <c r="L84" s="738">
        <f>L96</f>
        <v>257</v>
      </c>
      <c r="M84" s="78"/>
      <c r="N84" s="57"/>
      <c r="O84" s="78" t="s">
        <v>50</v>
      </c>
      <c r="P84" s="61">
        <f>H84*J84*L84</f>
        <v>1542</v>
      </c>
      <c r="Q84" s="413" t="s">
        <v>21</v>
      </c>
      <c r="R84" s="403"/>
      <c r="S84" s="407"/>
      <c r="T84" s="405"/>
    </row>
    <row r="85" spans="2:20" s="1" customFormat="1" ht="16.5" customHeight="1">
      <c r="B85" s="6"/>
      <c r="C85" s="731"/>
      <c r="D85" s="33"/>
      <c r="E85" s="37"/>
      <c r="F85" s="7"/>
      <c r="G85" s="70" t="s">
        <v>792</v>
      </c>
      <c r="H85" s="392">
        <v>2</v>
      </c>
      <c r="I85" s="460" t="s">
        <v>49</v>
      </c>
      <c r="J85" s="461">
        <v>2</v>
      </c>
      <c r="K85" s="78" t="s">
        <v>50</v>
      </c>
      <c r="L85" s="58">
        <f>H85*J85</f>
        <v>4</v>
      </c>
      <c r="M85" s="78" t="s">
        <v>21</v>
      </c>
      <c r="N85" s="57"/>
      <c r="O85" s="78"/>
      <c r="P85" s="58"/>
      <c r="Q85" s="59"/>
      <c r="R85" s="403"/>
      <c r="S85" s="407"/>
      <c r="T85" s="405"/>
    </row>
    <row r="86" spans="2:20" s="1" customFormat="1" ht="16.5" customHeight="1">
      <c r="B86" s="6"/>
      <c r="C86" s="731"/>
      <c r="D86" s="33"/>
      <c r="E86" s="37"/>
      <c r="F86" s="7"/>
      <c r="G86" s="70"/>
      <c r="H86" s="392">
        <v>1</v>
      </c>
      <c r="I86" s="460" t="s">
        <v>49</v>
      </c>
      <c r="J86" s="461">
        <v>2</v>
      </c>
      <c r="K86" s="78" t="s">
        <v>50</v>
      </c>
      <c r="L86" s="58">
        <f t="shared" ref="L86" si="3">H86*J86</f>
        <v>2</v>
      </c>
      <c r="M86" s="78" t="s">
        <v>21</v>
      </c>
      <c r="N86" s="57"/>
      <c r="O86" s="78"/>
      <c r="P86" s="58"/>
      <c r="Q86" s="59"/>
      <c r="R86" s="403"/>
      <c r="S86" s="407"/>
      <c r="T86" s="405"/>
    </row>
    <row r="87" spans="2:20" s="1" customFormat="1" ht="16.5" customHeight="1">
      <c r="B87" s="6"/>
      <c r="C87" s="731"/>
      <c r="D87" s="33"/>
      <c r="E87" s="37"/>
      <c r="F87" s="7"/>
      <c r="G87" s="70"/>
      <c r="H87" s="392"/>
      <c r="I87" s="460"/>
      <c r="J87" s="461"/>
      <c r="K87" s="78" t="s">
        <v>50</v>
      </c>
      <c r="L87" s="740">
        <f>SUM(L85:L86)</f>
        <v>6</v>
      </c>
      <c r="M87" s="79" t="s">
        <v>21</v>
      </c>
      <c r="N87" s="57"/>
      <c r="O87" s="78"/>
      <c r="P87" s="58"/>
      <c r="Q87" s="59"/>
      <c r="R87" s="403"/>
      <c r="S87" s="407"/>
      <c r="T87" s="405"/>
    </row>
    <row r="88" spans="2:20" s="1" customFormat="1" ht="16.5" customHeight="1">
      <c r="B88" s="6"/>
      <c r="C88" s="731"/>
      <c r="D88" s="33"/>
      <c r="E88" s="37"/>
      <c r="F88" s="7"/>
      <c r="G88" s="70"/>
      <c r="H88" s="392"/>
      <c r="I88" s="460"/>
      <c r="J88" s="461"/>
      <c r="K88" s="460"/>
      <c r="L88" s="463"/>
      <c r="M88" s="78"/>
      <c r="N88" s="57"/>
      <c r="O88" s="78"/>
      <c r="P88" s="58"/>
      <c r="Q88" s="59"/>
      <c r="R88" s="403"/>
      <c r="S88" s="407"/>
      <c r="T88" s="405"/>
    </row>
    <row r="89" spans="2:20" s="1" customFormat="1" ht="16.5" customHeight="1">
      <c r="B89" s="6"/>
      <c r="C89" s="731"/>
      <c r="D89" s="33"/>
      <c r="E89" s="37"/>
      <c r="F89" s="7"/>
      <c r="G89" s="70" t="s">
        <v>791</v>
      </c>
      <c r="H89" s="392">
        <v>11</v>
      </c>
      <c r="I89" s="460" t="s">
        <v>49</v>
      </c>
      <c r="J89" s="461">
        <v>1</v>
      </c>
      <c r="K89" s="78" t="s">
        <v>50</v>
      </c>
      <c r="L89" s="58">
        <f>H89*J89</f>
        <v>11</v>
      </c>
      <c r="M89" s="78"/>
      <c r="N89" s="416"/>
      <c r="O89" s="418"/>
      <c r="P89" s="422"/>
      <c r="Q89" s="420"/>
      <c r="R89" s="403"/>
      <c r="S89" s="407"/>
      <c r="T89" s="405"/>
    </row>
    <row r="90" spans="2:20" s="1" customFormat="1" ht="16.5" customHeight="1">
      <c r="B90" s="6"/>
      <c r="C90" s="731"/>
      <c r="D90" s="33"/>
      <c r="E90" s="37"/>
      <c r="F90" s="7"/>
      <c r="G90" s="70"/>
      <c r="H90" s="392">
        <v>9</v>
      </c>
      <c r="I90" s="460" t="s">
        <v>49</v>
      </c>
      <c r="J90" s="461">
        <v>1</v>
      </c>
      <c r="K90" s="78" t="s">
        <v>50</v>
      </c>
      <c r="L90" s="58">
        <f t="shared" ref="L90:L95" si="4">H90*J90</f>
        <v>9</v>
      </c>
      <c r="M90" s="78"/>
      <c r="N90" s="416"/>
      <c r="O90" s="418"/>
      <c r="P90" s="422"/>
      <c r="Q90" s="420"/>
      <c r="R90" s="403"/>
      <c r="S90" s="407"/>
      <c r="T90" s="405"/>
    </row>
    <row r="91" spans="2:20" s="1" customFormat="1" ht="16.5" customHeight="1">
      <c r="B91" s="6"/>
      <c r="C91" s="731"/>
      <c r="D91" s="33"/>
      <c r="E91" s="37"/>
      <c r="F91" s="7"/>
      <c r="G91" s="70"/>
      <c r="H91" s="392">
        <v>18</v>
      </c>
      <c r="I91" s="460" t="s">
        <v>49</v>
      </c>
      <c r="J91" s="461">
        <v>5</v>
      </c>
      <c r="K91" s="78" t="s">
        <v>50</v>
      </c>
      <c r="L91" s="58">
        <f t="shared" si="4"/>
        <v>90</v>
      </c>
      <c r="M91" s="78"/>
      <c r="N91" s="416"/>
      <c r="O91" s="418"/>
      <c r="P91" s="422"/>
      <c r="Q91" s="420"/>
      <c r="R91" s="403"/>
      <c r="S91" s="407"/>
      <c r="T91" s="405"/>
    </row>
    <row r="92" spans="2:20" s="1" customFormat="1" ht="16.5" customHeight="1">
      <c r="B92" s="6"/>
      <c r="C92" s="731"/>
      <c r="D92" s="33"/>
      <c r="E92" s="37"/>
      <c r="F92" s="7"/>
      <c r="G92" s="70"/>
      <c r="H92" s="392">
        <v>10</v>
      </c>
      <c r="I92" s="460" t="s">
        <v>49</v>
      </c>
      <c r="J92" s="461">
        <v>3</v>
      </c>
      <c r="K92" s="78" t="s">
        <v>50</v>
      </c>
      <c r="L92" s="58">
        <f t="shared" si="4"/>
        <v>30</v>
      </c>
      <c r="M92" s="78"/>
      <c r="N92" s="416"/>
      <c r="O92" s="418"/>
      <c r="P92" s="422"/>
      <c r="Q92" s="420"/>
      <c r="R92" s="403"/>
      <c r="S92" s="407"/>
      <c r="T92" s="405"/>
    </row>
    <row r="93" spans="2:20" s="1" customFormat="1" ht="16.5" customHeight="1">
      <c r="B93" s="6"/>
      <c r="C93" s="731"/>
      <c r="D93" s="33"/>
      <c r="E93" s="37"/>
      <c r="F93" s="7"/>
      <c r="G93" s="70"/>
      <c r="H93" s="392">
        <v>22</v>
      </c>
      <c r="I93" s="460" t="s">
        <v>49</v>
      </c>
      <c r="J93" s="461">
        <v>3</v>
      </c>
      <c r="K93" s="78" t="s">
        <v>50</v>
      </c>
      <c r="L93" s="58">
        <f t="shared" si="4"/>
        <v>66</v>
      </c>
      <c r="M93" s="78"/>
      <c r="N93" s="416"/>
      <c r="O93" s="418"/>
      <c r="P93" s="422"/>
      <c r="Q93" s="420"/>
      <c r="R93" s="403"/>
      <c r="S93" s="407"/>
      <c r="T93" s="405"/>
    </row>
    <row r="94" spans="2:20" s="1" customFormat="1" ht="16.5" customHeight="1">
      <c r="B94" s="6"/>
      <c r="C94" s="731"/>
      <c r="D94" s="33"/>
      <c r="E94" s="37"/>
      <c r="F94" s="7"/>
      <c r="G94" s="70"/>
      <c r="H94" s="392">
        <v>13</v>
      </c>
      <c r="I94" s="460" t="s">
        <v>49</v>
      </c>
      <c r="J94" s="461">
        <v>3</v>
      </c>
      <c r="K94" s="78" t="s">
        <v>50</v>
      </c>
      <c r="L94" s="58">
        <f t="shared" si="4"/>
        <v>39</v>
      </c>
      <c r="M94" s="78"/>
      <c r="N94" s="416"/>
      <c r="O94" s="418"/>
      <c r="P94" s="422"/>
      <c r="Q94" s="420"/>
      <c r="R94" s="403"/>
      <c r="S94" s="407"/>
      <c r="T94" s="405"/>
    </row>
    <row r="95" spans="2:20" s="1" customFormat="1" ht="16.5" customHeight="1">
      <c r="B95" s="6"/>
      <c r="C95" s="731"/>
      <c r="D95" s="33"/>
      <c r="E95" s="37"/>
      <c r="F95" s="7"/>
      <c r="G95" s="70"/>
      <c r="H95" s="392">
        <v>6</v>
      </c>
      <c r="I95" s="460" t="s">
        <v>49</v>
      </c>
      <c r="J95" s="461">
        <v>2</v>
      </c>
      <c r="K95" s="78" t="s">
        <v>50</v>
      </c>
      <c r="L95" s="58">
        <f t="shared" si="4"/>
        <v>12</v>
      </c>
      <c r="M95" s="78"/>
      <c r="N95" s="416"/>
      <c r="O95" s="418"/>
      <c r="P95" s="422"/>
      <c r="Q95" s="420"/>
      <c r="R95" s="403"/>
      <c r="S95" s="407"/>
      <c r="T95" s="405"/>
    </row>
    <row r="96" spans="2:20" s="1" customFormat="1" ht="16.5" customHeight="1">
      <c r="B96" s="6"/>
      <c r="C96" s="731"/>
      <c r="D96" s="33"/>
      <c r="E96" s="37"/>
      <c r="F96" s="7"/>
      <c r="G96" s="70"/>
      <c r="H96" s="392"/>
      <c r="I96" s="460"/>
      <c r="J96" s="461"/>
      <c r="K96" s="460" t="s">
        <v>50</v>
      </c>
      <c r="L96" s="738">
        <f>SUM(L89:L95)</f>
        <v>257</v>
      </c>
      <c r="M96" s="79" t="s">
        <v>62</v>
      </c>
      <c r="N96" s="416"/>
      <c r="O96" s="418"/>
      <c r="P96" s="422"/>
      <c r="Q96" s="420"/>
      <c r="R96" s="403"/>
      <c r="S96" s="407"/>
      <c r="T96" s="405"/>
    </row>
    <row r="97" spans="2:20" s="1" customFormat="1" ht="16.5" customHeight="1">
      <c r="B97" s="6"/>
      <c r="C97" s="731"/>
      <c r="D97" s="33"/>
      <c r="E97" s="37"/>
      <c r="F97" s="7"/>
      <c r="G97" s="70"/>
      <c r="H97" s="392"/>
      <c r="I97" s="460"/>
      <c r="J97" s="461"/>
      <c r="K97" s="460"/>
      <c r="L97" s="461"/>
      <c r="M97" s="79"/>
      <c r="N97" s="416"/>
      <c r="O97" s="418"/>
      <c r="P97" s="422"/>
      <c r="Q97" s="420"/>
      <c r="R97" s="403"/>
      <c r="S97" s="407"/>
      <c r="T97" s="405"/>
    </row>
    <row r="98" spans="2:20" s="1" customFormat="1" ht="16.5" customHeight="1">
      <c r="B98" s="6"/>
      <c r="C98" s="731"/>
      <c r="D98" s="33"/>
      <c r="E98" s="37"/>
      <c r="F98" s="7"/>
      <c r="G98" s="70"/>
      <c r="H98" s="737" t="s">
        <v>793</v>
      </c>
      <c r="I98" s="735"/>
      <c r="J98" s="735" t="s">
        <v>51</v>
      </c>
      <c r="K98" s="736"/>
      <c r="L98" s="735" t="s">
        <v>52</v>
      </c>
      <c r="M98" s="417"/>
      <c r="N98" s="416"/>
      <c r="O98" s="418"/>
      <c r="P98" s="422"/>
      <c r="Q98" s="420"/>
      <c r="R98" s="403"/>
      <c r="S98" s="407"/>
      <c r="T98" s="405"/>
    </row>
    <row r="99" spans="2:20" s="1" customFormat="1" ht="16.5" customHeight="1">
      <c r="B99" s="6"/>
      <c r="C99" s="731"/>
      <c r="D99" s="33"/>
      <c r="E99" s="37"/>
      <c r="F99" s="7" t="s">
        <v>790</v>
      </c>
      <c r="G99" s="70"/>
      <c r="H99" s="392">
        <v>1</v>
      </c>
      <c r="I99" s="460" t="s">
        <v>49</v>
      </c>
      <c r="J99" s="739">
        <f>L102</f>
        <v>24.4</v>
      </c>
      <c r="K99" s="460" t="s">
        <v>49</v>
      </c>
      <c r="L99" s="738">
        <f>L104</f>
        <v>32</v>
      </c>
      <c r="M99" s="78"/>
      <c r="N99" s="57"/>
      <c r="O99" s="78" t="s">
        <v>50</v>
      </c>
      <c r="P99" s="61">
        <f>H99*J99*L99</f>
        <v>780.8</v>
      </c>
      <c r="Q99" s="413" t="s">
        <v>21</v>
      </c>
      <c r="R99" s="403"/>
      <c r="S99" s="407"/>
      <c r="T99" s="405"/>
    </row>
    <row r="100" spans="2:20" s="1" customFormat="1" ht="16.5" customHeight="1">
      <c r="B100" s="6"/>
      <c r="C100" s="15"/>
      <c r="D100" s="33"/>
      <c r="E100" s="37"/>
      <c r="F100" s="7"/>
      <c r="G100" s="70" t="s">
        <v>792</v>
      </c>
      <c r="H100" s="392">
        <v>5.55</v>
      </c>
      <c r="I100" s="460" t="s">
        <v>49</v>
      </c>
      <c r="J100" s="461">
        <v>4</v>
      </c>
      <c r="K100" s="78" t="s">
        <v>50</v>
      </c>
      <c r="L100" s="58">
        <f t="shared" ref="L100:L101" si="5">H100*J100</f>
        <v>22.2</v>
      </c>
      <c r="M100" s="78"/>
      <c r="N100" s="416"/>
      <c r="O100" s="418"/>
      <c r="P100" s="422"/>
      <c r="Q100" s="420"/>
      <c r="R100" s="403"/>
      <c r="S100" s="407"/>
      <c r="T100" s="405"/>
    </row>
    <row r="101" spans="2:20" s="1" customFormat="1" ht="16.5" customHeight="1">
      <c r="B101" s="6"/>
      <c r="C101" s="731"/>
      <c r="D101" s="33"/>
      <c r="E101" s="37"/>
      <c r="F101" s="7"/>
      <c r="G101" s="70"/>
      <c r="H101" s="392">
        <v>1.1000000000000001</v>
      </c>
      <c r="I101" s="460" t="s">
        <v>49</v>
      </c>
      <c r="J101" s="461">
        <v>2</v>
      </c>
      <c r="K101" s="78" t="s">
        <v>50</v>
      </c>
      <c r="L101" s="58">
        <f t="shared" si="5"/>
        <v>2.2000000000000002</v>
      </c>
      <c r="M101" s="78"/>
      <c r="N101" s="416"/>
      <c r="O101" s="418"/>
      <c r="P101" s="422"/>
      <c r="Q101" s="420"/>
      <c r="R101" s="403"/>
      <c r="S101" s="407"/>
      <c r="T101" s="405"/>
    </row>
    <row r="102" spans="2:20" s="1" customFormat="1" ht="16.5" customHeight="1">
      <c r="B102" s="6"/>
      <c r="C102" s="731"/>
      <c r="D102" s="33"/>
      <c r="E102" s="37"/>
      <c r="F102" s="7"/>
      <c r="G102" s="70"/>
      <c r="H102" s="392"/>
      <c r="I102" s="460"/>
      <c r="J102" s="461"/>
      <c r="K102" s="78" t="s">
        <v>50</v>
      </c>
      <c r="L102" s="740">
        <f>SUM(L100:L101)</f>
        <v>24.4</v>
      </c>
      <c r="M102" s="79" t="s">
        <v>21</v>
      </c>
      <c r="N102" s="416"/>
      <c r="O102" s="418"/>
      <c r="P102" s="422"/>
      <c r="Q102" s="420"/>
      <c r="R102" s="403"/>
      <c r="S102" s="407"/>
      <c r="T102" s="405"/>
    </row>
    <row r="103" spans="2:20" s="1" customFormat="1" ht="16.5" customHeight="1">
      <c r="B103" s="6"/>
      <c r="C103" s="731"/>
      <c r="D103" s="33"/>
      <c r="E103" s="37"/>
      <c r="F103" s="7"/>
      <c r="G103" s="70"/>
      <c r="H103" s="392"/>
      <c r="I103" s="460"/>
      <c r="J103" s="461"/>
      <c r="K103" s="460"/>
      <c r="L103" s="461"/>
      <c r="M103" s="78"/>
      <c r="N103" s="416"/>
      <c r="O103" s="418"/>
      <c r="P103" s="422"/>
      <c r="Q103" s="420"/>
      <c r="R103" s="403"/>
      <c r="S103" s="407"/>
      <c r="T103" s="405"/>
    </row>
    <row r="104" spans="2:20" s="1" customFormat="1" ht="16.5" customHeight="1">
      <c r="B104" s="6"/>
      <c r="C104" s="731"/>
      <c r="D104" s="33"/>
      <c r="E104" s="37"/>
      <c r="F104" s="7"/>
      <c r="G104" s="70" t="s">
        <v>794</v>
      </c>
      <c r="H104" s="392">
        <v>8</v>
      </c>
      <c r="I104" s="460" t="s">
        <v>49</v>
      </c>
      <c r="J104" s="461">
        <v>4</v>
      </c>
      <c r="K104" s="78" t="s">
        <v>50</v>
      </c>
      <c r="L104" s="738">
        <f t="shared" ref="L104" si="6">H104*J104</f>
        <v>32</v>
      </c>
      <c r="M104" s="79" t="s">
        <v>62</v>
      </c>
      <c r="N104" s="416"/>
      <c r="O104" s="418"/>
      <c r="P104" s="422"/>
      <c r="Q104" s="420"/>
      <c r="R104" s="403"/>
      <c r="S104" s="407"/>
      <c r="T104" s="405"/>
    </row>
    <row r="105" spans="2:20" s="1" customFormat="1" ht="16.5" customHeight="1">
      <c r="B105" s="6"/>
      <c r="C105" s="731"/>
      <c r="D105" s="33"/>
      <c r="E105" s="37"/>
      <c r="F105" s="7"/>
      <c r="G105" s="70"/>
      <c r="H105" s="392"/>
      <c r="I105" s="460"/>
      <c r="J105" s="461"/>
      <c r="K105" s="460"/>
      <c r="L105" s="461"/>
      <c r="M105" s="78"/>
      <c r="N105" s="416"/>
      <c r="O105" s="418"/>
      <c r="P105" s="422"/>
      <c r="Q105" s="420"/>
      <c r="R105" s="403"/>
      <c r="S105" s="407"/>
      <c r="T105" s="405"/>
    </row>
    <row r="106" spans="2:20" s="1" customFormat="1" ht="16.5" customHeight="1">
      <c r="B106" s="6"/>
      <c r="C106" s="731"/>
      <c r="D106" s="33"/>
      <c r="E106" s="37"/>
      <c r="F106" s="7"/>
      <c r="G106" s="70"/>
      <c r="H106" s="392"/>
      <c r="I106" s="460"/>
      <c r="J106" s="461"/>
      <c r="K106" s="460"/>
      <c r="L106" s="461"/>
      <c r="M106" s="78"/>
      <c r="N106" s="416"/>
      <c r="O106" s="418"/>
      <c r="P106" s="422"/>
      <c r="Q106" s="420"/>
      <c r="R106" s="403"/>
      <c r="S106" s="407"/>
      <c r="T106" s="405"/>
    </row>
    <row r="107" spans="2:20" s="1" customFormat="1" ht="16.5" customHeight="1">
      <c r="B107" s="6"/>
      <c r="C107" s="731"/>
      <c r="D107" s="33"/>
      <c r="E107" s="37"/>
      <c r="F107" s="7" t="s">
        <v>784</v>
      </c>
      <c r="G107" s="70"/>
      <c r="H107" s="392">
        <v>1</v>
      </c>
      <c r="I107" s="460" t="s">
        <v>49</v>
      </c>
      <c r="J107" s="461">
        <v>1.5</v>
      </c>
      <c r="K107" s="460" t="s">
        <v>49</v>
      </c>
      <c r="L107" s="461">
        <v>26</v>
      </c>
      <c r="M107" s="78"/>
      <c r="N107" s="416"/>
      <c r="O107" s="418" t="s">
        <v>50</v>
      </c>
      <c r="P107" s="422">
        <f>H107*J107*L107</f>
        <v>39</v>
      </c>
      <c r="Q107" s="413" t="s">
        <v>21</v>
      </c>
      <c r="R107" s="403"/>
      <c r="S107" s="407"/>
      <c r="T107" s="405"/>
    </row>
    <row r="108" spans="2:20" s="1" customFormat="1" ht="16.5" customHeight="1">
      <c r="B108" s="6"/>
      <c r="C108" s="15"/>
      <c r="D108" s="33"/>
      <c r="E108" s="37"/>
      <c r="F108" s="7"/>
      <c r="G108" s="741" t="s">
        <v>795</v>
      </c>
      <c r="H108" s="393"/>
      <c r="I108" s="416"/>
      <c r="J108" s="461"/>
      <c r="K108" s="417"/>
      <c r="L108" s="421"/>
      <c r="M108" s="417"/>
      <c r="N108" s="416"/>
      <c r="O108" s="418" t="s">
        <v>50</v>
      </c>
      <c r="P108" s="422">
        <f>SUM(P84:P107)</f>
        <v>2361.8000000000002</v>
      </c>
      <c r="Q108" s="413" t="s">
        <v>21</v>
      </c>
      <c r="R108" s="403"/>
      <c r="S108" s="407"/>
      <c r="T108" s="405"/>
    </row>
    <row r="109" spans="2:20" s="1" customFormat="1" ht="16.5" customHeight="1">
      <c r="B109" s="6"/>
      <c r="C109" s="15"/>
      <c r="D109" s="33"/>
      <c r="E109" s="37"/>
      <c r="F109" s="7"/>
      <c r="G109" s="70"/>
      <c r="H109" s="393"/>
      <c r="I109" s="416"/>
      <c r="J109" s="416"/>
      <c r="K109" s="417"/>
      <c r="L109" s="421"/>
      <c r="M109" s="417"/>
      <c r="N109" s="416"/>
      <c r="O109" s="418"/>
      <c r="P109" s="422"/>
      <c r="Q109" s="420"/>
      <c r="R109" s="403"/>
      <c r="S109" s="407"/>
      <c r="T109" s="405"/>
    </row>
    <row r="110" spans="2:20" s="1" customFormat="1" ht="16.5" customHeight="1">
      <c r="B110" s="6"/>
      <c r="C110" s="15"/>
      <c r="D110" s="33"/>
      <c r="E110" s="37"/>
      <c r="F110" s="7"/>
      <c r="G110" s="22"/>
      <c r="H110" s="390"/>
      <c r="I110" s="78"/>
      <c r="J110" s="57"/>
      <c r="K110" s="78"/>
      <c r="L110" s="57"/>
      <c r="M110" s="78"/>
      <c r="N110" s="57"/>
      <c r="O110" s="79"/>
      <c r="P110" s="61"/>
      <c r="Q110" s="59"/>
      <c r="R110" s="403"/>
      <c r="S110" s="404"/>
      <c r="T110" s="405"/>
    </row>
    <row r="111" spans="2:20" s="1" customFormat="1" ht="16.5" customHeight="1">
      <c r="B111" s="381"/>
      <c r="C111" s="465" t="str">
        <f>RAB!C110</f>
        <v>V</v>
      </c>
      <c r="D111" s="382" t="str">
        <f>RAB!D110</f>
        <v>PEKERJAAN INSTALASI LISTRIK</v>
      </c>
      <c r="E111" s="383"/>
      <c r="F111" s="383"/>
      <c r="G111" s="384"/>
      <c r="H111" s="400"/>
      <c r="I111" s="385"/>
      <c r="J111" s="389"/>
      <c r="K111" s="385"/>
      <c r="L111" s="389"/>
      <c r="M111" s="385"/>
      <c r="N111" s="389"/>
      <c r="O111" s="385"/>
      <c r="P111" s="466"/>
      <c r="Q111" s="467"/>
      <c r="R111" s="386"/>
      <c r="S111" s="387"/>
    </row>
    <row r="112" spans="2:20" s="1" customFormat="1" ht="16.5" customHeight="1">
      <c r="B112" s="6"/>
      <c r="C112" s="15"/>
      <c r="D112" s="33">
        <f>RAB!D111</f>
        <v>1</v>
      </c>
      <c r="E112" s="33" t="str">
        <f>RAB!E111</f>
        <v>Armature lampu TKO V LED 2 x 16 Watt</v>
      </c>
      <c r="F112" s="7"/>
      <c r="G112" s="22"/>
      <c r="H112" s="390"/>
      <c r="I112" s="78"/>
      <c r="J112" s="57"/>
      <c r="K112" s="78"/>
      <c r="L112" s="57"/>
      <c r="M112" s="78"/>
      <c r="N112" s="57"/>
      <c r="O112" s="78"/>
      <c r="P112" s="58"/>
      <c r="Q112" s="59"/>
      <c r="R112" s="403">
        <f>P115</f>
        <v>468</v>
      </c>
      <c r="S112" s="404" t="s">
        <v>62</v>
      </c>
      <c r="T112" s="405"/>
    </row>
    <row r="113" spans="2:20" s="1" customFormat="1" ht="16.5" customHeight="1">
      <c r="B113" s="6"/>
      <c r="C113" s="15"/>
      <c r="D113" s="33"/>
      <c r="E113" s="33"/>
      <c r="F113" s="7"/>
      <c r="G113" s="22"/>
      <c r="H113" s="390">
        <f>73+37</f>
        <v>110</v>
      </c>
      <c r="I113" s="78" t="s">
        <v>49</v>
      </c>
      <c r="J113" s="57">
        <v>4</v>
      </c>
      <c r="K113" s="78"/>
      <c r="L113" s="57"/>
      <c r="M113" s="78"/>
      <c r="N113" s="57"/>
      <c r="O113" s="78" t="s">
        <v>50</v>
      </c>
      <c r="P113" s="58">
        <f>H113*J113</f>
        <v>440</v>
      </c>
      <c r="Q113" s="59" t="s">
        <v>62</v>
      </c>
      <c r="R113" s="403"/>
      <c r="S113" s="404"/>
      <c r="T113" s="405"/>
    </row>
    <row r="114" spans="2:20" s="1" customFormat="1" ht="16.5" customHeight="1">
      <c r="B114" s="6"/>
      <c r="C114" s="15"/>
      <c r="D114" s="33"/>
      <c r="E114" s="33"/>
      <c r="F114" s="7"/>
      <c r="G114" s="22" t="s">
        <v>406</v>
      </c>
      <c r="H114" s="390">
        <v>14</v>
      </c>
      <c r="I114" s="78" t="s">
        <v>49</v>
      </c>
      <c r="J114" s="57">
        <v>2</v>
      </c>
      <c r="K114" s="78"/>
      <c r="L114" s="57"/>
      <c r="M114" s="78"/>
      <c r="N114" s="57"/>
      <c r="O114" s="78" t="s">
        <v>50</v>
      </c>
      <c r="P114" s="58">
        <f>H114*J114</f>
        <v>28</v>
      </c>
      <c r="Q114" s="59" t="s">
        <v>62</v>
      </c>
      <c r="R114" s="403"/>
      <c r="S114" s="404"/>
      <c r="T114" s="405"/>
    </row>
    <row r="115" spans="2:20" s="1" customFormat="1" ht="16.5" customHeight="1">
      <c r="B115" s="6"/>
      <c r="C115" s="15"/>
      <c r="D115" s="33"/>
      <c r="E115" s="33"/>
      <c r="F115" s="7"/>
      <c r="G115" s="22"/>
      <c r="H115" s="390"/>
      <c r="I115" s="78"/>
      <c r="J115" s="57"/>
      <c r="K115" s="78"/>
      <c r="L115" s="57"/>
      <c r="M115" s="78"/>
      <c r="N115" s="57"/>
      <c r="O115" s="78" t="s">
        <v>50</v>
      </c>
      <c r="P115" s="61">
        <f>SUM(P113:P114)</f>
        <v>468</v>
      </c>
      <c r="Q115" s="413" t="s">
        <v>62</v>
      </c>
      <c r="R115" s="403"/>
      <c r="S115" s="404"/>
      <c r="T115" s="405"/>
    </row>
    <row r="116" spans="2:20" s="1" customFormat="1" ht="16.5" customHeight="1">
      <c r="B116" s="6"/>
      <c r="C116" s="15"/>
      <c r="D116" s="33"/>
      <c r="E116" s="37"/>
      <c r="F116" s="7"/>
      <c r="G116" s="22"/>
      <c r="H116" s="390"/>
      <c r="I116" s="78"/>
      <c r="J116" s="57"/>
      <c r="K116" s="78"/>
      <c r="L116" s="57"/>
      <c r="M116" s="78"/>
      <c r="N116" s="57"/>
      <c r="O116" s="79"/>
      <c r="P116" s="61"/>
      <c r="Q116" s="59"/>
      <c r="R116" s="403"/>
      <c r="S116" s="407"/>
      <c r="T116" s="405"/>
    </row>
    <row r="117" spans="2:20" s="1" customFormat="1" ht="16.5" customHeight="1">
      <c r="B117" s="381"/>
      <c r="C117" s="465" t="str">
        <f>RAB!C114</f>
        <v>VI</v>
      </c>
      <c r="D117" s="382" t="str">
        <f>RAB!D114</f>
        <v xml:space="preserve">PEKERJAAN PENGECATAN </v>
      </c>
      <c r="E117" s="383"/>
      <c r="F117" s="383"/>
      <c r="G117" s="384"/>
      <c r="H117" s="400"/>
      <c r="I117" s="385"/>
      <c r="J117" s="389"/>
      <c r="K117" s="385"/>
      <c r="L117" s="389"/>
      <c r="M117" s="385"/>
      <c r="N117" s="389"/>
      <c r="O117" s="385"/>
      <c r="P117" s="466"/>
      <c r="Q117" s="467"/>
      <c r="R117" s="386"/>
      <c r="S117" s="387"/>
    </row>
    <row r="118" spans="2:20" s="1" customFormat="1" ht="16.5" customHeight="1">
      <c r="B118" s="6"/>
      <c r="C118" s="15"/>
      <c r="D118" s="33">
        <f>RAB!D115</f>
        <v>1</v>
      </c>
      <c r="E118" s="37" t="str">
        <f>RAB!E115</f>
        <v xml:space="preserve">Pengecatan Cat Tembok Dinding &amp; Kolom </v>
      </c>
      <c r="F118" s="7"/>
      <c r="G118" s="22"/>
      <c r="H118" s="392"/>
      <c r="I118" s="414"/>
      <c r="J118" s="415"/>
      <c r="K118" s="78"/>
      <c r="L118" s="57"/>
      <c r="M118" s="78"/>
      <c r="N118" s="57"/>
      <c r="O118" s="79"/>
      <c r="P118" s="61"/>
      <c r="Q118" s="59"/>
      <c r="R118" s="403">
        <f>P126</f>
        <v>1677.6000000000001</v>
      </c>
      <c r="S118" s="407" t="str">
        <f>Q126</f>
        <v>M2</v>
      </c>
      <c r="T118" s="405"/>
    </row>
    <row r="119" spans="2:20" s="1" customFormat="1" ht="16.5" customHeight="1">
      <c r="B119" s="6"/>
      <c r="C119" s="15"/>
      <c r="D119" s="33"/>
      <c r="E119" s="37"/>
      <c r="F119" s="7"/>
      <c r="G119" s="23" t="s">
        <v>407</v>
      </c>
      <c r="H119" s="392" t="s">
        <v>408</v>
      </c>
      <c r="I119" s="460"/>
      <c r="J119" s="461" t="s">
        <v>409</v>
      </c>
      <c r="K119" s="78"/>
      <c r="L119" s="57"/>
      <c r="M119" s="78"/>
      <c r="N119" s="57"/>
      <c r="O119" s="79"/>
      <c r="P119" s="61"/>
      <c r="Q119" s="59"/>
      <c r="R119" s="403"/>
      <c r="S119" s="407"/>
      <c r="T119" s="405"/>
    </row>
    <row r="120" spans="2:20" s="1" customFormat="1" ht="16.5" customHeight="1">
      <c r="B120" s="6"/>
      <c r="C120" s="15"/>
      <c r="D120" s="33"/>
      <c r="E120" s="37"/>
      <c r="F120" s="7"/>
      <c r="G120" s="23"/>
      <c r="H120" s="392">
        <v>364</v>
      </c>
      <c r="I120" s="460" t="s">
        <v>49</v>
      </c>
      <c r="J120" s="461">
        <v>3</v>
      </c>
      <c r="K120" s="78"/>
      <c r="L120" s="57"/>
      <c r="M120" s="78"/>
      <c r="N120" s="57"/>
      <c r="O120" s="78" t="s">
        <v>50</v>
      </c>
      <c r="P120" s="61">
        <f>H120*J120</f>
        <v>1092</v>
      </c>
      <c r="Q120" s="413" t="s">
        <v>133</v>
      </c>
      <c r="R120" s="403"/>
      <c r="S120" s="407"/>
      <c r="T120" s="405"/>
    </row>
    <row r="121" spans="2:20" s="1" customFormat="1" ht="16.5" customHeight="1">
      <c r="B121" s="6"/>
      <c r="C121" s="15"/>
      <c r="D121" s="33"/>
      <c r="E121" s="37"/>
      <c r="F121" s="7"/>
      <c r="G121" s="23" t="s">
        <v>410</v>
      </c>
      <c r="H121" s="392"/>
      <c r="I121" s="460"/>
      <c r="J121" s="461"/>
      <c r="K121" s="78"/>
      <c r="L121" s="57"/>
      <c r="M121" s="78"/>
      <c r="N121" s="57"/>
      <c r="O121" s="79"/>
      <c r="P121" s="61"/>
      <c r="Q121" s="59"/>
      <c r="R121" s="403"/>
      <c r="S121" s="407"/>
      <c r="T121" s="405"/>
    </row>
    <row r="122" spans="2:20" s="1" customFormat="1" ht="16.5" customHeight="1">
      <c r="B122" s="6"/>
      <c r="C122" s="15"/>
      <c r="D122" s="33"/>
      <c r="E122" s="37"/>
      <c r="F122" s="7"/>
      <c r="G122" s="22" t="s">
        <v>411</v>
      </c>
      <c r="H122" s="392"/>
      <c r="I122" s="460"/>
      <c r="J122" s="461"/>
      <c r="K122" s="78"/>
      <c r="L122" s="57"/>
      <c r="M122" s="78"/>
      <c r="N122" s="57"/>
      <c r="O122" s="78" t="s">
        <v>50</v>
      </c>
      <c r="P122" s="61">
        <v>122</v>
      </c>
      <c r="Q122" s="413" t="s">
        <v>62</v>
      </c>
      <c r="R122" s="403"/>
      <c r="S122" s="407"/>
      <c r="T122" s="405"/>
    </row>
    <row r="123" spans="2:20" s="1" customFormat="1" ht="16.5" customHeight="1">
      <c r="B123" s="6"/>
      <c r="C123" s="15"/>
      <c r="D123" s="33"/>
      <c r="E123" s="37"/>
      <c r="F123" s="7"/>
      <c r="G123" s="22"/>
      <c r="H123" s="392">
        <v>0.4</v>
      </c>
      <c r="I123" s="460" t="s">
        <v>49</v>
      </c>
      <c r="J123" s="461">
        <v>4</v>
      </c>
      <c r="K123" s="78"/>
      <c r="L123" s="57"/>
      <c r="M123" s="78"/>
      <c r="N123" s="57"/>
      <c r="O123" s="78" t="s">
        <v>50</v>
      </c>
      <c r="P123" s="58">
        <f>H123*J123</f>
        <v>1.6</v>
      </c>
      <c r="Q123" s="59" t="s">
        <v>21</v>
      </c>
      <c r="R123" s="403"/>
      <c r="S123" s="407"/>
      <c r="T123" s="405"/>
    </row>
    <row r="124" spans="2:20" s="1" customFormat="1" ht="16.5" customHeight="1">
      <c r="B124" s="6"/>
      <c r="C124" s="15"/>
      <c r="D124" s="33"/>
      <c r="E124" s="37"/>
      <c r="F124" s="7"/>
      <c r="G124" s="22"/>
      <c r="H124" s="392">
        <f>P123</f>
        <v>1.6</v>
      </c>
      <c r="I124" s="460" t="s">
        <v>49</v>
      </c>
      <c r="J124" s="461">
        <f>J120</f>
        <v>3</v>
      </c>
      <c r="K124" s="460" t="s">
        <v>49</v>
      </c>
      <c r="L124" s="461">
        <f>P122</f>
        <v>122</v>
      </c>
      <c r="M124" s="78"/>
      <c r="N124" s="57"/>
      <c r="O124" s="78" t="s">
        <v>50</v>
      </c>
      <c r="P124" s="61">
        <f>H124*J124*L124</f>
        <v>585.60000000000014</v>
      </c>
      <c r="Q124" s="413" t="s">
        <v>133</v>
      </c>
      <c r="R124" s="403"/>
      <c r="S124" s="407"/>
      <c r="T124" s="405"/>
    </row>
    <row r="125" spans="2:20" s="1" customFormat="1" ht="16.5" customHeight="1">
      <c r="B125" s="6"/>
      <c r="C125" s="15"/>
      <c r="D125" s="33"/>
      <c r="E125" s="37"/>
      <c r="F125" s="7"/>
      <c r="G125" s="22"/>
      <c r="H125" s="392"/>
      <c r="I125" s="460"/>
      <c r="J125" s="461"/>
      <c r="K125" s="78"/>
      <c r="L125" s="57"/>
      <c r="M125" s="78"/>
      <c r="N125" s="57"/>
      <c r="O125" s="78"/>
      <c r="P125" s="58"/>
      <c r="Q125" s="59"/>
      <c r="R125" s="403"/>
      <c r="S125" s="407"/>
      <c r="T125" s="405"/>
    </row>
    <row r="126" spans="2:20" s="1" customFormat="1" ht="16.5" customHeight="1">
      <c r="B126" s="6"/>
      <c r="C126" s="15"/>
      <c r="D126" s="33"/>
      <c r="E126" s="37"/>
      <c r="F126" s="7"/>
      <c r="G126" s="22" t="s">
        <v>48</v>
      </c>
      <c r="H126" s="392">
        <f>P120</f>
        <v>1092</v>
      </c>
      <c r="I126" s="460" t="s">
        <v>412</v>
      </c>
      <c r="J126" s="461">
        <f>P124</f>
        <v>585.60000000000014</v>
      </c>
      <c r="K126" s="78"/>
      <c r="L126" s="57"/>
      <c r="M126" s="78"/>
      <c r="N126" s="57"/>
      <c r="O126" s="78" t="s">
        <v>50</v>
      </c>
      <c r="P126" s="61">
        <f>H126+J126</f>
        <v>1677.6000000000001</v>
      </c>
      <c r="Q126" s="413" t="s">
        <v>133</v>
      </c>
      <c r="R126" s="403"/>
      <c r="S126" s="407"/>
      <c r="T126" s="405"/>
    </row>
    <row r="127" spans="2:20" s="1" customFormat="1" ht="16.5" customHeight="1">
      <c r="B127" s="6"/>
      <c r="C127" s="15"/>
      <c r="D127" s="33"/>
      <c r="E127" s="37"/>
      <c r="F127" s="7"/>
      <c r="G127" s="22"/>
      <c r="H127" s="392"/>
      <c r="I127" s="460"/>
      <c r="J127" s="461"/>
      <c r="K127" s="78"/>
      <c r="L127" s="57"/>
      <c r="M127" s="78"/>
      <c r="N127" s="57"/>
      <c r="O127" s="78"/>
      <c r="P127" s="61"/>
      <c r="Q127" s="413"/>
      <c r="R127" s="403"/>
      <c r="S127" s="407"/>
      <c r="T127" s="405"/>
    </row>
    <row r="128" spans="2:20" s="1" customFormat="1" ht="16.5" customHeight="1">
      <c r="B128" s="6"/>
      <c r="C128" s="15"/>
      <c r="D128" s="33">
        <f>RAB!D116</f>
        <v>2</v>
      </c>
      <c r="E128" s="37" t="str">
        <f>RAB!E116</f>
        <v xml:space="preserve">Pengecatan Cat Tembok Plafond </v>
      </c>
      <c r="F128" s="7"/>
      <c r="G128" s="70"/>
      <c r="H128" s="393"/>
      <c r="I128" s="416"/>
      <c r="J128" s="416"/>
      <c r="K128" s="417"/>
      <c r="L128" s="416"/>
      <c r="M128" s="417"/>
      <c r="N128" s="416"/>
      <c r="O128" s="418"/>
      <c r="P128" s="419"/>
      <c r="Q128" s="420"/>
      <c r="R128" s="403">
        <f>P30</f>
        <v>4066.28</v>
      </c>
      <c r="S128" s="407" t="s">
        <v>133</v>
      </c>
      <c r="T128" s="405"/>
    </row>
    <row r="129" spans="2:20" s="1" customFormat="1" ht="16.5" customHeight="1">
      <c r="B129" s="6"/>
      <c r="C129" s="15"/>
      <c r="D129" s="33">
        <f>RAB!D117</f>
        <v>2</v>
      </c>
      <c r="E129" s="37" t="str">
        <f>RAB!E117</f>
        <v>Pengecatan Cat Tembok Nomor Grid Kolom</v>
      </c>
      <c r="F129" s="7"/>
      <c r="G129" s="70"/>
      <c r="H129" s="393"/>
      <c r="I129" s="416"/>
      <c r="J129" s="416"/>
      <c r="K129" s="417"/>
      <c r="L129" s="421"/>
      <c r="M129" s="417"/>
      <c r="N129" s="416"/>
      <c r="O129" s="418"/>
      <c r="P129" s="422"/>
      <c r="Q129" s="420"/>
      <c r="R129" s="403">
        <f>P131</f>
        <v>43.92</v>
      </c>
      <c r="S129" s="407" t="s">
        <v>133</v>
      </c>
      <c r="T129" s="405"/>
    </row>
    <row r="130" spans="2:20" s="1" customFormat="1" ht="16.5" customHeight="1">
      <c r="B130" s="6"/>
      <c r="C130" s="15"/>
      <c r="D130" s="33"/>
      <c r="E130" s="37"/>
      <c r="F130" s="7"/>
      <c r="G130" s="22" t="s">
        <v>414</v>
      </c>
      <c r="H130" s="390">
        <v>0.3</v>
      </c>
      <c r="I130" s="460" t="s">
        <v>49</v>
      </c>
      <c r="J130" s="461">
        <v>0.3</v>
      </c>
      <c r="K130" s="460" t="s">
        <v>49</v>
      </c>
      <c r="L130" s="461">
        <v>4</v>
      </c>
      <c r="M130" s="78"/>
      <c r="N130" s="416"/>
      <c r="O130" s="418" t="s">
        <v>50</v>
      </c>
      <c r="P130" s="422">
        <f>H130*J130*L130</f>
        <v>0.36</v>
      </c>
      <c r="Q130" s="420" t="s">
        <v>133</v>
      </c>
      <c r="R130" s="403"/>
      <c r="S130" s="407"/>
      <c r="T130" s="405"/>
    </row>
    <row r="131" spans="2:20" s="1" customFormat="1" ht="16.5" customHeight="1">
      <c r="B131" s="6"/>
      <c r="C131" s="15"/>
      <c r="D131" s="33"/>
      <c r="E131" s="37"/>
      <c r="F131" s="7"/>
      <c r="G131" s="22" t="s">
        <v>48</v>
      </c>
      <c r="H131" s="392">
        <f>P130</f>
        <v>0.36</v>
      </c>
      <c r="I131" s="460" t="s">
        <v>49</v>
      </c>
      <c r="J131" s="463">
        <f>P122</f>
        <v>122</v>
      </c>
      <c r="K131" s="78"/>
      <c r="L131" s="57"/>
      <c r="M131" s="78"/>
      <c r="N131" s="57"/>
      <c r="O131" s="78" t="s">
        <v>50</v>
      </c>
      <c r="P131" s="61">
        <f>H131*J131</f>
        <v>43.92</v>
      </c>
      <c r="Q131" s="413" t="s">
        <v>133</v>
      </c>
      <c r="R131" s="403"/>
      <c r="S131" s="404"/>
      <c r="T131" s="405"/>
    </row>
    <row r="132" spans="2:20" s="1" customFormat="1" ht="16.5" customHeight="1">
      <c r="B132" s="6"/>
      <c r="C132" s="15"/>
      <c r="D132" s="33"/>
      <c r="E132" s="37"/>
      <c r="F132" s="7"/>
      <c r="G132" s="22"/>
      <c r="H132" s="390"/>
      <c r="I132" s="78"/>
      <c r="J132" s="57"/>
      <c r="K132" s="78"/>
      <c r="L132" s="57"/>
      <c r="M132" s="78"/>
      <c r="N132" s="57"/>
      <c r="O132" s="78"/>
      <c r="P132" s="58"/>
      <c r="Q132" s="59"/>
      <c r="R132" s="403"/>
      <c r="S132" s="404"/>
      <c r="T132" s="405"/>
    </row>
    <row r="133" spans="2:20" s="1" customFormat="1" ht="16.5" customHeight="1">
      <c r="B133" s="6"/>
      <c r="C133" s="15"/>
      <c r="D133" s="33"/>
      <c r="E133" s="37"/>
      <c r="F133" s="7"/>
      <c r="G133" s="22"/>
      <c r="H133" s="390"/>
      <c r="I133" s="78"/>
      <c r="J133" s="57"/>
      <c r="K133" s="78"/>
      <c r="L133" s="57"/>
      <c r="M133" s="78"/>
      <c r="N133" s="57"/>
      <c r="O133" s="78"/>
      <c r="P133" s="58"/>
      <c r="Q133" s="59"/>
      <c r="R133" s="403"/>
      <c r="S133" s="404"/>
      <c r="T133" s="405"/>
    </row>
    <row r="134" spans="2:20" s="1" customFormat="1" ht="16.5" customHeight="1">
      <c r="B134" s="6"/>
      <c r="C134" s="15"/>
      <c r="D134" s="33"/>
      <c r="E134" s="37"/>
      <c r="F134" s="7"/>
      <c r="G134" s="22"/>
      <c r="H134" s="390"/>
      <c r="I134" s="78"/>
      <c r="J134" s="57"/>
      <c r="K134" s="78"/>
      <c r="L134" s="57"/>
      <c r="M134" s="78"/>
      <c r="N134" s="57"/>
      <c r="O134" s="79"/>
      <c r="P134" s="61"/>
      <c r="Q134" s="59"/>
      <c r="R134" s="403"/>
      <c r="S134" s="404"/>
      <c r="T134" s="405"/>
    </row>
    <row r="135" spans="2:20" s="1" customFormat="1" ht="16.5" customHeight="1">
      <c r="B135" s="6"/>
      <c r="C135" s="15"/>
      <c r="D135" s="33"/>
      <c r="E135" s="37"/>
      <c r="F135" s="7"/>
      <c r="G135" s="22"/>
      <c r="H135" s="390"/>
      <c r="I135" s="78"/>
      <c r="J135" s="57"/>
      <c r="K135" s="57"/>
      <c r="L135" s="57"/>
      <c r="M135" s="78"/>
      <c r="N135" s="57"/>
      <c r="O135" s="79"/>
      <c r="P135" s="61"/>
      <c r="Q135" s="59"/>
      <c r="R135" s="403"/>
      <c r="S135" s="407"/>
      <c r="T135" s="405"/>
    </row>
    <row r="136" spans="2:20" s="46" customFormat="1" ht="16.5" customHeight="1">
      <c r="B136" s="81"/>
      <c r="C136" s="82"/>
      <c r="D136" s="379"/>
      <c r="E136" s="83"/>
      <c r="F136" s="84"/>
      <c r="G136" s="85"/>
      <c r="H136" s="392"/>
      <c r="I136" s="414"/>
      <c r="J136" s="415"/>
      <c r="K136" s="414"/>
      <c r="L136" s="415"/>
      <c r="M136" s="414"/>
      <c r="N136" s="415"/>
      <c r="O136" s="414"/>
      <c r="P136" s="423"/>
      <c r="Q136" s="424"/>
      <c r="R136" s="425"/>
      <c r="S136" s="426"/>
      <c r="T136" s="427"/>
    </row>
    <row r="137" spans="2:20" ht="16.5" customHeight="1">
      <c r="F137" s="27"/>
      <c r="H137" s="62"/>
      <c r="R137" s="428"/>
      <c r="S137" s="429"/>
      <c r="T137" s="430"/>
    </row>
    <row r="138" spans="2:20" s="1" customFormat="1" ht="16.2">
      <c r="B138" s="2"/>
      <c r="C138" s="73"/>
      <c r="D138" s="73"/>
      <c r="E138" s="44"/>
      <c r="F138" s="2"/>
      <c r="G138" s="32"/>
      <c r="H138" s="394"/>
      <c r="I138" s="431"/>
      <c r="J138" s="394"/>
      <c r="K138" s="431"/>
      <c r="L138" s="394"/>
      <c r="M138" s="431"/>
      <c r="N138" s="394"/>
      <c r="O138" s="431"/>
      <c r="P138" s="431"/>
      <c r="Q138" s="394"/>
      <c r="R138" s="432"/>
      <c r="S138" s="433"/>
      <c r="T138" s="405"/>
    </row>
    <row r="139" spans="2:20" s="1" customFormat="1" ht="16.2">
      <c r="B139" s="2"/>
      <c r="C139" s="73"/>
      <c r="D139" s="73"/>
      <c r="E139" s="44"/>
      <c r="F139" s="3"/>
      <c r="G139" s="10"/>
      <c r="H139" s="394"/>
      <c r="I139" s="431"/>
      <c r="J139" s="394"/>
      <c r="K139" s="431"/>
      <c r="L139" s="394"/>
      <c r="M139" s="431"/>
      <c r="N139" s="394"/>
      <c r="O139" s="431"/>
      <c r="P139" s="434"/>
      <c r="Q139" s="435"/>
      <c r="R139" s="436"/>
      <c r="S139" s="437"/>
      <c r="T139" s="405"/>
    </row>
    <row r="140" spans="2:20" s="1" customFormat="1" ht="16.2">
      <c r="B140" s="2"/>
      <c r="C140" s="73"/>
      <c r="D140" s="73"/>
      <c r="E140" s="17"/>
      <c r="F140" s="10"/>
      <c r="G140" s="13"/>
      <c r="H140" s="394"/>
      <c r="I140" s="431"/>
      <c r="J140" s="394"/>
      <c r="K140" s="431"/>
      <c r="L140" s="394"/>
      <c r="M140" s="431"/>
      <c r="N140" s="394"/>
      <c r="O140" s="431"/>
      <c r="P140" s="434"/>
      <c r="Q140" s="435"/>
      <c r="R140" s="436"/>
      <c r="S140" s="437"/>
      <c r="T140" s="405"/>
    </row>
    <row r="141" spans="2:20" s="1" customFormat="1" ht="16.2">
      <c r="B141" s="2"/>
      <c r="C141" s="73"/>
      <c r="D141" s="73"/>
      <c r="E141" s="17"/>
      <c r="F141" s="10"/>
      <c r="G141" s="12"/>
      <c r="H141" s="394"/>
      <c r="I141" s="431"/>
      <c r="J141" s="394"/>
      <c r="K141" s="431"/>
      <c r="L141" s="394"/>
      <c r="M141" s="431"/>
      <c r="N141" s="394"/>
      <c r="O141" s="431"/>
      <c r="P141" s="434"/>
      <c r="Q141" s="435"/>
      <c r="R141" s="436"/>
      <c r="S141" s="437"/>
      <c r="T141" s="405"/>
    </row>
    <row r="142" spans="2:20" s="1" customFormat="1" ht="16.2">
      <c r="B142" s="12"/>
      <c r="C142" s="73"/>
      <c r="D142" s="73"/>
      <c r="E142" s="17"/>
      <c r="F142" s="2"/>
      <c r="G142" s="12"/>
      <c r="H142" s="394"/>
      <c r="I142" s="431"/>
      <c r="J142" s="394"/>
      <c r="K142" s="431"/>
      <c r="L142" s="394"/>
      <c r="M142" s="431"/>
      <c r="N142" s="394"/>
      <c r="O142" s="431"/>
      <c r="P142" s="431"/>
      <c r="Q142" s="435"/>
      <c r="R142" s="436"/>
      <c r="S142" s="437"/>
      <c r="T142" s="405"/>
    </row>
    <row r="143" spans="2:20" s="1" customFormat="1" ht="16.2">
      <c r="B143" s="2"/>
      <c r="C143" s="73"/>
      <c r="D143" s="73"/>
      <c r="E143" s="17"/>
      <c r="F143" s="11"/>
      <c r="G143" s="12"/>
      <c r="H143" s="394"/>
      <c r="I143" s="431"/>
      <c r="J143" s="394"/>
      <c r="K143" s="431"/>
      <c r="L143" s="394"/>
      <c r="M143" s="431"/>
      <c r="N143" s="394"/>
      <c r="O143" s="431"/>
      <c r="P143" s="434"/>
      <c r="Q143" s="435"/>
      <c r="R143" s="436"/>
      <c r="S143" s="437"/>
      <c r="T143" s="405"/>
    </row>
    <row r="144" spans="2:20" s="1" customFormat="1" ht="16.2">
      <c r="B144" s="2"/>
      <c r="C144" s="73"/>
      <c r="D144" s="73"/>
      <c r="E144" s="16"/>
      <c r="F144" s="2"/>
      <c r="G144" s="14"/>
      <c r="H144" s="394"/>
      <c r="I144" s="431"/>
      <c r="J144" s="394"/>
      <c r="K144" s="431"/>
      <c r="L144" s="394"/>
      <c r="M144" s="431"/>
      <c r="N144" s="394"/>
      <c r="O144" s="431"/>
      <c r="P144" s="434"/>
      <c r="Q144" s="435"/>
      <c r="R144" s="436"/>
      <c r="S144" s="437"/>
      <c r="T144" s="405"/>
    </row>
    <row r="145" spans="2:20" s="1" customFormat="1" ht="16.2">
      <c r="B145" s="2"/>
      <c r="C145" s="73"/>
      <c r="D145" s="73"/>
      <c r="E145" s="45"/>
      <c r="F145" s="2"/>
      <c r="G145" s="12"/>
      <c r="H145" s="394"/>
      <c r="I145" s="431"/>
      <c r="J145" s="394"/>
      <c r="K145" s="431"/>
      <c r="L145" s="394"/>
      <c r="M145" s="431"/>
      <c r="N145" s="394"/>
      <c r="O145" s="431"/>
      <c r="P145" s="434"/>
      <c r="Q145" s="435"/>
      <c r="R145" s="436"/>
      <c r="S145" s="437"/>
      <c r="T145" s="405"/>
    </row>
    <row r="146" spans="2:20">
      <c r="H146" s="62"/>
      <c r="R146" s="428"/>
      <c r="S146" s="429"/>
      <c r="T146" s="430"/>
    </row>
    <row r="147" spans="2:20">
      <c r="H147" s="62"/>
      <c r="R147" s="428"/>
      <c r="S147" s="429"/>
      <c r="T147" s="430"/>
    </row>
    <row r="148" spans="2:20">
      <c r="H148" s="62"/>
      <c r="R148" s="428"/>
      <c r="S148" s="429"/>
      <c r="T148" s="430"/>
    </row>
    <row r="149" spans="2:20">
      <c r="H149" s="62"/>
      <c r="R149" s="428"/>
      <c r="S149" s="429"/>
      <c r="T149" s="430"/>
    </row>
    <row r="150" spans="2:20">
      <c r="H150" s="62"/>
      <c r="R150" s="428"/>
      <c r="S150" s="429"/>
      <c r="T150" s="430"/>
    </row>
    <row r="151" spans="2:20">
      <c r="H151" s="62"/>
      <c r="R151" s="428"/>
      <c r="S151" s="429"/>
      <c r="T151" s="430"/>
    </row>
    <row r="152" spans="2:20">
      <c r="H152" s="62"/>
      <c r="R152" s="428"/>
      <c r="S152" s="429"/>
      <c r="T152" s="430"/>
    </row>
    <row r="153" spans="2:20">
      <c r="H153" s="62"/>
      <c r="R153" s="428"/>
      <c r="S153" s="429"/>
      <c r="T153" s="430"/>
    </row>
    <row r="154" spans="2:20">
      <c r="H154" s="62"/>
      <c r="R154" s="428"/>
      <c r="S154" s="429"/>
      <c r="T154" s="430"/>
    </row>
    <row r="155" spans="2:20">
      <c r="H155" s="62"/>
      <c r="R155" s="428"/>
      <c r="S155" s="429"/>
      <c r="T155" s="430"/>
    </row>
    <row r="156" spans="2:20">
      <c r="H156" s="62"/>
      <c r="R156" s="428"/>
      <c r="S156" s="429"/>
      <c r="T156" s="430"/>
    </row>
    <row r="157" spans="2:20">
      <c r="H157" s="62"/>
      <c r="R157" s="428"/>
      <c r="S157" s="429"/>
      <c r="T157" s="430"/>
    </row>
    <row r="158" spans="2:20">
      <c r="H158" s="62"/>
      <c r="R158" s="428"/>
      <c r="S158" s="429"/>
      <c r="T158" s="430"/>
    </row>
    <row r="159" spans="2:20">
      <c r="H159" s="62"/>
      <c r="R159" s="428"/>
      <c r="S159" s="429"/>
      <c r="T159" s="430"/>
    </row>
    <row r="160" spans="2:20">
      <c r="H160" s="62"/>
      <c r="R160" s="428"/>
      <c r="S160" s="429"/>
      <c r="T160" s="430"/>
    </row>
    <row r="161" spans="8:20">
      <c r="H161" s="62"/>
      <c r="R161" s="428"/>
      <c r="S161" s="429"/>
      <c r="T161" s="430"/>
    </row>
    <row r="162" spans="8:20">
      <c r="H162" s="62"/>
      <c r="R162" s="428"/>
      <c r="S162" s="429"/>
      <c r="T162" s="430"/>
    </row>
    <row r="163" spans="8:20">
      <c r="H163" s="62"/>
      <c r="R163" s="428"/>
      <c r="S163" s="429"/>
      <c r="T163" s="430"/>
    </row>
    <row r="164" spans="8:20">
      <c r="H164" s="62"/>
      <c r="R164" s="428"/>
      <c r="S164" s="429"/>
      <c r="T164" s="430"/>
    </row>
    <row r="165" spans="8:20">
      <c r="H165" s="62"/>
      <c r="R165" s="428"/>
      <c r="S165" s="429"/>
      <c r="T165" s="430"/>
    </row>
    <row r="166" spans="8:20">
      <c r="H166" s="62"/>
      <c r="R166" s="428"/>
      <c r="S166" s="429"/>
      <c r="T166" s="430"/>
    </row>
    <row r="167" spans="8:20">
      <c r="H167" s="62"/>
      <c r="R167" s="428"/>
      <c r="S167" s="429"/>
      <c r="T167" s="430"/>
    </row>
    <row r="168" spans="8:20">
      <c r="H168" s="62"/>
      <c r="R168" s="428"/>
      <c r="S168" s="429"/>
      <c r="T168" s="430"/>
    </row>
    <row r="169" spans="8:20">
      <c r="H169" s="62"/>
      <c r="R169" s="428"/>
      <c r="S169" s="429"/>
      <c r="T169" s="430"/>
    </row>
    <row r="170" spans="8:20">
      <c r="H170" s="62"/>
      <c r="R170" s="428"/>
      <c r="S170" s="429"/>
      <c r="T170" s="430"/>
    </row>
    <row r="171" spans="8:20">
      <c r="H171" s="62"/>
      <c r="R171" s="428"/>
      <c r="S171" s="429"/>
      <c r="T171" s="430"/>
    </row>
    <row r="172" spans="8:20">
      <c r="H172" s="62"/>
      <c r="R172" s="428"/>
      <c r="S172" s="429"/>
      <c r="T172" s="430"/>
    </row>
    <row r="173" spans="8:20">
      <c r="H173" s="62"/>
      <c r="R173" s="428"/>
      <c r="S173" s="429"/>
      <c r="T173" s="430"/>
    </row>
    <row r="174" spans="8:20">
      <c r="H174" s="62"/>
      <c r="R174" s="428"/>
      <c r="S174" s="429"/>
      <c r="T174" s="430"/>
    </row>
    <row r="175" spans="8:20">
      <c r="H175" s="62"/>
      <c r="R175" s="428"/>
      <c r="S175" s="429"/>
      <c r="T175" s="430"/>
    </row>
    <row r="176" spans="8:20">
      <c r="H176" s="62"/>
      <c r="R176" s="428"/>
      <c r="S176" s="429"/>
      <c r="T176" s="430"/>
    </row>
    <row r="177" spans="8:20">
      <c r="H177" s="62"/>
      <c r="R177" s="428"/>
      <c r="S177" s="429"/>
      <c r="T177" s="430"/>
    </row>
    <row r="178" spans="8:20">
      <c r="H178" s="62"/>
      <c r="R178" s="428"/>
      <c r="S178" s="429"/>
      <c r="T178" s="430"/>
    </row>
    <row r="179" spans="8:20">
      <c r="H179" s="62"/>
      <c r="R179" s="428"/>
      <c r="S179" s="429"/>
      <c r="T179" s="430"/>
    </row>
    <row r="180" spans="8:20">
      <c r="H180" s="62"/>
      <c r="R180" s="428"/>
      <c r="S180" s="429"/>
      <c r="T180" s="430"/>
    </row>
    <row r="181" spans="8:20">
      <c r="H181" s="62"/>
      <c r="R181" s="428"/>
      <c r="S181" s="429"/>
      <c r="T181" s="430"/>
    </row>
    <row r="182" spans="8:20">
      <c r="H182" s="62"/>
      <c r="R182" s="428"/>
      <c r="S182" s="429"/>
      <c r="T182" s="430"/>
    </row>
    <row r="183" spans="8:20">
      <c r="H183" s="62"/>
      <c r="R183" s="428"/>
      <c r="S183" s="429"/>
      <c r="T183" s="430"/>
    </row>
    <row r="184" spans="8:20">
      <c r="H184" s="62"/>
      <c r="R184" s="428"/>
      <c r="S184" s="429"/>
      <c r="T184" s="430"/>
    </row>
    <row r="185" spans="8:20">
      <c r="H185" s="62"/>
      <c r="R185" s="428"/>
      <c r="S185" s="429"/>
      <c r="T185" s="430"/>
    </row>
    <row r="186" spans="8:20">
      <c r="H186" s="62"/>
      <c r="R186" s="428"/>
      <c r="S186" s="429"/>
      <c r="T186" s="430"/>
    </row>
    <row r="187" spans="8:20">
      <c r="H187" s="62"/>
      <c r="R187" s="428"/>
      <c r="S187" s="429"/>
      <c r="T187" s="430"/>
    </row>
    <row r="188" spans="8:20">
      <c r="H188" s="62"/>
      <c r="R188" s="428"/>
      <c r="S188" s="429"/>
      <c r="T188" s="430"/>
    </row>
    <row r="189" spans="8:20">
      <c r="H189" s="62"/>
      <c r="R189" s="428"/>
      <c r="S189" s="429"/>
      <c r="T189" s="430"/>
    </row>
    <row r="190" spans="8:20">
      <c r="H190" s="62"/>
      <c r="R190" s="428"/>
      <c r="S190" s="429"/>
      <c r="T190" s="430"/>
    </row>
    <row r="191" spans="8:20">
      <c r="H191" s="62"/>
      <c r="R191" s="428"/>
      <c r="S191" s="429"/>
      <c r="T191" s="430"/>
    </row>
    <row r="192" spans="8:20">
      <c r="H192" s="62"/>
      <c r="R192" s="428"/>
      <c r="S192" s="429"/>
      <c r="T192" s="430"/>
    </row>
    <row r="193" spans="8:20">
      <c r="H193" s="62"/>
      <c r="R193" s="428"/>
      <c r="S193" s="429"/>
      <c r="T193" s="430"/>
    </row>
    <row r="194" spans="8:20">
      <c r="H194" s="62"/>
      <c r="R194" s="428"/>
      <c r="S194" s="429"/>
      <c r="T194" s="430"/>
    </row>
    <row r="195" spans="8:20">
      <c r="H195" s="62"/>
      <c r="R195" s="428"/>
      <c r="S195" s="429"/>
      <c r="T195" s="430"/>
    </row>
    <row r="196" spans="8:20">
      <c r="H196" s="62"/>
      <c r="R196" s="428"/>
      <c r="S196" s="429"/>
      <c r="T196" s="430"/>
    </row>
    <row r="197" spans="8:20">
      <c r="H197" s="62"/>
      <c r="R197" s="428"/>
      <c r="S197" s="429"/>
      <c r="T197" s="430"/>
    </row>
    <row r="198" spans="8:20">
      <c r="H198" s="62"/>
      <c r="R198" s="428"/>
      <c r="S198" s="429"/>
      <c r="T198" s="430"/>
    </row>
    <row r="199" spans="8:20">
      <c r="H199" s="62"/>
      <c r="R199" s="428"/>
      <c r="S199" s="429"/>
      <c r="T199" s="430"/>
    </row>
    <row r="200" spans="8:20">
      <c r="H200" s="62"/>
      <c r="R200" s="428"/>
      <c r="S200" s="429"/>
      <c r="T200" s="430"/>
    </row>
    <row r="201" spans="8:20">
      <c r="H201" s="62"/>
      <c r="R201" s="428"/>
      <c r="S201" s="429"/>
      <c r="T201" s="430"/>
    </row>
    <row r="202" spans="8:20">
      <c r="H202" s="62"/>
      <c r="R202" s="428"/>
      <c r="S202" s="429"/>
      <c r="T202" s="430"/>
    </row>
    <row r="203" spans="8:20">
      <c r="H203" s="62"/>
      <c r="R203" s="428"/>
      <c r="S203" s="429"/>
      <c r="T203" s="430"/>
    </row>
    <row r="204" spans="8:20">
      <c r="H204" s="62"/>
      <c r="R204" s="428"/>
      <c r="S204" s="429"/>
      <c r="T204" s="430"/>
    </row>
    <row r="205" spans="8:20">
      <c r="H205" s="62"/>
      <c r="R205" s="428"/>
      <c r="S205" s="429"/>
      <c r="T205" s="430"/>
    </row>
    <row r="206" spans="8:20">
      <c r="H206" s="62"/>
      <c r="R206" s="428"/>
      <c r="S206" s="429"/>
      <c r="T206" s="430"/>
    </row>
    <row r="207" spans="8:20">
      <c r="H207" s="62"/>
      <c r="R207" s="428"/>
      <c r="S207" s="429"/>
      <c r="T207" s="430"/>
    </row>
    <row r="208" spans="8:20">
      <c r="H208" s="62"/>
      <c r="R208" s="428"/>
      <c r="S208" s="429"/>
      <c r="T208" s="430"/>
    </row>
    <row r="209" spans="8:20">
      <c r="H209" s="62"/>
      <c r="R209" s="428"/>
      <c r="S209" s="429"/>
      <c r="T209" s="430"/>
    </row>
    <row r="210" spans="8:20">
      <c r="H210" s="62"/>
      <c r="R210" s="428"/>
      <c r="S210" s="429"/>
      <c r="T210" s="430"/>
    </row>
    <row r="211" spans="8:20">
      <c r="H211" s="62"/>
      <c r="R211" s="428"/>
      <c r="S211" s="429"/>
      <c r="T211" s="430"/>
    </row>
    <row r="212" spans="8:20">
      <c r="H212" s="62"/>
      <c r="R212" s="428"/>
      <c r="S212" s="429"/>
      <c r="T212" s="430"/>
    </row>
    <row r="213" spans="8:20">
      <c r="H213" s="62"/>
      <c r="R213" s="428"/>
      <c r="S213" s="429"/>
      <c r="T213" s="430"/>
    </row>
    <row r="214" spans="8:20">
      <c r="H214" s="62"/>
      <c r="R214" s="428"/>
      <c r="S214" s="429"/>
      <c r="T214" s="430"/>
    </row>
    <row r="215" spans="8:20">
      <c r="H215" s="62"/>
      <c r="R215" s="428"/>
      <c r="S215" s="429"/>
      <c r="T215" s="430"/>
    </row>
    <row r="216" spans="8:20">
      <c r="H216" s="62"/>
      <c r="R216" s="428"/>
      <c r="S216" s="429"/>
      <c r="T216" s="430"/>
    </row>
    <row r="217" spans="8:20">
      <c r="H217" s="62"/>
      <c r="R217" s="428"/>
      <c r="S217" s="429"/>
      <c r="T217" s="430"/>
    </row>
    <row r="218" spans="8:20">
      <c r="H218" s="62"/>
      <c r="R218" s="428"/>
      <c r="S218" s="429"/>
      <c r="T218" s="430"/>
    </row>
    <row r="219" spans="8:20">
      <c r="H219" s="62"/>
      <c r="R219" s="428"/>
      <c r="S219" s="429"/>
      <c r="T219" s="430"/>
    </row>
    <row r="220" spans="8:20">
      <c r="H220" s="62"/>
      <c r="R220" s="428"/>
      <c r="S220" s="429"/>
      <c r="T220" s="430"/>
    </row>
    <row r="221" spans="8:20">
      <c r="H221" s="62"/>
      <c r="R221" s="428"/>
      <c r="S221" s="429"/>
      <c r="T221" s="430"/>
    </row>
    <row r="222" spans="8:20">
      <c r="H222" s="62"/>
      <c r="R222" s="428"/>
      <c r="S222" s="429"/>
      <c r="T222" s="430"/>
    </row>
    <row r="223" spans="8:20">
      <c r="H223" s="62"/>
      <c r="R223" s="428"/>
      <c r="S223" s="429"/>
      <c r="T223" s="430"/>
    </row>
    <row r="224" spans="8:20">
      <c r="H224" s="62"/>
      <c r="R224" s="428"/>
      <c r="S224" s="429"/>
      <c r="T224" s="430"/>
    </row>
    <row r="225" spans="8:20">
      <c r="H225" s="62"/>
      <c r="R225" s="428"/>
      <c r="S225" s="429"/>
      <c r="T225" s="430"/>
    </row>
    <row r="226" spans="8:20">
      <c r="H226" s="62"/>
      <c r="R226" s="428"/>
      <c r="S226" s="429"/>
      <c r="T226" s="430"/>
    </row>
    <row r="227" spans="8:20">
      <c r="H227" s="62"/>
      <c r="R227" s="428"/>
      <c r="S227" s="429"/>
      <c r="T227" s="430"/>
    </row>
    <row r="228" spans="8:20">
      <c r="H228" s="62"/>
      <c r="R228" s="428"/>
      <c r="S228" s="429"/>
      <c r="T228" s="430"/>
    </row>
    <row r="229" spans="8:20">
      <c r="H229" s="62"/>
      <c r="R229" s="428"/>
      <c r="S229" s="429"/>
      <c r="T229" s="430"/>
    </row>
    <row r="230" spans="8:20">
      <c r="H230" s="62"/>
      <c r="R230" s="428"/>
      <c r="S230" s="429"/>
      <c r="T230" s="430"/>
    </row>
  </sheetData>
  <mergeCells count="5">
    <mergeCell ref="B3:S3"/>
    <mergeCell ref="C12:G12"/>
    <mergeCell ref="H12:Q12"/>
    <mergeCell ref="C13:G13"/>
    <mergeCell ref="H13:Q13"/>
  </mergeCells>
  <printOptions horizontalCentered="1"/>
  <pageMargins left="0.78740157480314965" right="0.59055118110236227" top="0.59055118110236227" bottom="0.59055118110236227" header="0.51181102362204722" footer="0.39370078740157483"/>
  <pageSetup paperSize="9" scale="61" orientation="portrait" horizontalDpi="4294967293" verticalDpi="4294967293" r:id="rId1"/>
  <headerFooter alignWithMargins="0">
    <oddFooter>&amp;C&amp;9&amp;P/&amp;N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  <outlinePr summaryBelow="0" summaryRight="0"/>
  </sheetPr>
  <dimension ref="B3:T243"/>
  <sheetViews>
    <sheetView view="pageBreakPreview" topLeftCell="A11" zoomScale="85" zoomScaleNormal="100" zoomScaleSheetLayoutView="85" workbookViewId="0">
      <selection activeCell="G63" sqref="G63"/>
    </sheetView>
  </sheetViews>
  <sheetFormatPr defaultColWidth="9.21875" defaultRowHeight="15.6"/>
  <cols>
    <col min="1" max="1" width="9.21875" style="31"/>
    <col min="2" max="2" width="4.5546875" style="24" customWidth="1"/>
    <col min="3" max="4" width="4.77734375" style="75" customWidth="1"/>
    <col min="5" max="5" width="10.21875" style="25" customWidth="1"/>
    <col min="6" max="6" width="2" style="24" customWidth="1"/>
    <col min="7" max="7" width="28.77734375" style="26" customWidth="1"/>
    <col min="8" max="8" width="10.21875" style="402" customWidth="1"/>
    <col min="9" max="9" width="3.21875" style="80" customWidth="1"/>
    <col min="10" max="10" width="10.21875" style="62" customWidth="1"/>
    <col min="11" max="11" width="3.21875" style="80" customWidth="1"/>
    <col min="12" max="12" width="10.21875" style="62" customWidth="1"/>
    <col min="13" max="13" width="3.21875" style="80" customWidth="1"/>
    <col min="14" max="14" width="10.21875" style="62" customWidth="1"/>
    <col min="15" max="15" width="3.21875" style="80" customWidth="1"/>
    <col min="16" max="16" width="10.77734375" style="63" customWidth="1"/>
    <col min="17" max="17" width="5.77734375" style="62" customWidth="1"/>
    <col min="18" max="18" width="10.77734375" style="43" customWidth="1"/>
    <col min="19" max="19" width="7.21875" style="69" customWidth="1"/>
    <col min="20" max="16384" width="9.21875" style="31"/>
  </cols>
  <sheetData>
    <row r="3" spans="2:19" s="30" customFormat="1" ht="26.25" customHeight="1">
      <c r="B3" s="1233" t="s">
        <v>389</v>
      </c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1233"/>
      <c r="R3" s="1233"/>
      <c r="S3" s="1233"/>
    </row>
    <row r="4" spans="2:19" s="30" customFormat="1" ht="16.350000000000001" customHeight="1">
      <c r="B4" s="388"/>
      <c r="C4" s="388"/>
      <c r="D4" s="388"/>
      <c r="E4" s="388"/>
      <c r="F4" s="388"/>
      <c r="G4" s="388"/>
      <c r="H4" s="395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</row>
    <row r="5" spans="2:19" s="30" customFormat="1" ht="15" customHeight="1">
      <c r="B5" s="388"/>
      <c r="C5" s="388"/>
      <c r="D5" s="388"/>
      <c r="E5" s="388"/>
      <c r="F5" s="388"/>
      <c r="G5" s="388"/>
      <c r="H5" s="395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2:19" s="30" customFormat="1" ht="19.8" customHeight="1">
      <c r="B6" s="105" t="s">
        <v>384</v>
      </c>
      <c r="C6" s="3"/>
      <c r="D6" s="149"/>
      <c r="E6" s="2"/>
      <c r="F6" s="105" t="s">
        <v>26</v>
      </c>
      <c r="G6" s="105" t="s">
        <v>380</v>
      </c>
      <c r="H6" s="396"/>
      <c r="I6" s="76"/>
      <c r="J6" s="49"/>
      <c r="K6" s="76"/>
      <c r="L6" s="49"/>
      <c r="M6" s="76"/>
      <c r="N6" s="49"/>
      <c r="O6" s="76"/>
      <c r="P6" s="49"/>
      <c r="Q6" s="50"/>
      <c r="R6" s="28"/>
      <c r="S6" s="20"/>
    </row>
    <row r="7" spans="2:19" s="1" customFormat="1" ht="19.8" customHeight="1">
      <c r="B7" s="3" t="s">
        <v>385</v>
      </c>
      <c r="C7" s="3"/>
      <c r="D7" s="149"/>
      <c r="E7" s="2"/>
      <c r="F7" s="105" t="s">
        <v>26</v>
      </c>
      <c r="G7" s="105" t="s">
        <v>377</v>
      </c>
      <c r="H7" s="397"/>
      <c r="I7" s="52"/>
      <c r="J7" s="51"/>
      <c r="K7" s="52"/>
      <c r="L7" s="51"/>
      <c r="M7" s="52"/>
      <c r="N7" s="51"/>
      <c r="O7" s="52"/>
      <c r="P7" s="52"/>
      <c r="Q7" s="51"/>
      <c r="R7" s="38"/>
      <c r="S7" s="64"/>
    </row>
    <row r="8" spans="2:19" s="1" customFormat="1" ht="19.8" customHeight="1">
      <c r="B8" s="3" t="s">
        <v>388</v>
      </c>
      <c r="C8" s="3"/>
      <c r="D8" s="149"/>
      <c r="E8" s="2"/>
      <c r="F8" s="105" t="s">
        <v>26</v>
      </c>
      <c r="G8" s="2" t="s">
        <v>375</v>
      </c>
      <c r="H8" s="397"/>
      <c r="I8" s="52"/>
      <c r="J8" s="51"/>
      <c r="K8" s="52"/>
      <c r="L8" s="51"/>
      <c r="M8" s="52"/>
      <c r="N8" s="51"/>
      <c r="O8" s="52"/>
      <c r="P8" s="52"/>
      <c r="Q8" s="51"/>
      <c r="R8" s="38"/>
      <c r="S8" s="64"/>
    </row>
    <row r="9" spans="2:19" s="1" customFormat="1" ht="19.8" customHeight="1">
      <c r="B9" s="3" t="s">
        <v>386</v>
      </c>
      <c r="C9" s="3"/>
      <c r="D9" s="149"/>
      <c r="E9" s="2"/>
      <c r="F9" s="105" t="s">
        <v>26</v>
      </c>
      <c r="G9" s="347" t="s">
        <v>376</v>
      </c>
      <c r="H9" s="397"/>
      <c r="I9" s="52"/>
      <c r="J9" s="51"/>
      <c r="K9" s="52"/>
      <c r="L9" s="51"/>
      <c r="M9" s="52"/>
      <c r="N9" s="51"/>
      <c r="O9" s="52"/>
      <c r="P9" s="52"/>
      <c r="Q9" s="51"/>
      <c r="R9" s="38"/>
      <c r="S9" s="3"/>
    </row>
    <row r="10" spans="2:19" s="1" customFormat="1" ht="19.8" customHeight="1">
      <c r="B10" s="3" t="s">
        <v>387</v>
      </c>
      <c r="C10" s="3"/>
      <c r="D10" s="149"/>
      <c r="E10" s="2"/>
      <c r="F10" s="105" t="s">
        <v>26</v>
      </c>
      <c r="G10" s="3" t="s">
        <v>348</v>
      </c>
      <c r="H10" s="397"/>
      <c r="I10" s="52"/>
      <c r="J10" s="51"/>
      <c r="K10" s="52"/>
      <c r="L10" s="51"/>
      <c r="M10" s="52"/>
      <c r="N10" s="51"/>
      <c r="O10" s="52"/>
      <c r="P10" s="52"/>
      <c r="Q10" s="51"/>
      <c r="R10" s="38"/>
      <c r="S10" s="3"/>
    </row>
    <row r="11" spans="2:19" s="1" customFormat="1" ht="16.5" customHeight="1" thickBot="1">
      <c r="B11" s="2"/>
      <c r="C11" s="73"/>
      <c r="D11" s="73"/>
      <c r="E11" s="3"/>
      <c r="F11" s="2"/>
      <c r="G11" s="18"/>
      <c r="H11" s="397"/>
      <c r="I11" s="52"/>
      <c r="J11" s="51"/>
      <c r="K11" s="52"/>
      <c r="L11" s="51"/>
      <c r="M11" s="52"/>
      <c r="N11" s="51"/>
      <c r="O11" s="52"/>
      <c r="P11" s="53"/>
      <c r="Q11" s="51"/>
      <c r="R11" s="39"/>
      <c r="S11" s="65"/>
    </row>
    <row r="12" spans="2:19" s="34" customFormat="1" ht="38.25" customHeight="1" thickTop="1">
      <c r="B12" s="150" t="s">
        <v>0</v>
      </c>
      <c r="C12" s="1241" t="s">
        <v>24</v>
      </c>
      <c r="D12" s="1242"/>
      <c r="E12" s="1242"/>
      <c r="F12" s="1242"/>
      <c r="G12" s="1243"/>
      <c r="H12" s="1234" t="s">
        <v>68</v>
      </c>
      <c r="I12" s="1235"/>
      <c r="J12" s="1235"/>
      <c r="K12" s="1235"/>
      <c r="L12" s="1235"/>
      <c r="M12" s="1235"/>
      <c r="N12" s="1235"/>
      <c r="O12" s="1235"/>
      <c r="P12" s="1235"/>
      <c r="Q12" s="1235"/>
      <c r="R12" s="338" t="s">
        <v>54</v>
      </c>
      <c r="S12" s="151" t="s">
        <v>40</v>
      </c>
    </row>
    <row r="13" spans="2:19" s="1" customFormat="1" ht="16.5" customHeight="1" thickBot="1">
      <c r="B13" s="335" t="s">
        <v>9</v>
      </c>
      <c r="C13" s="1244" t="s">
        <v>10</v>
      </c>
      <c r="D13" s="1245"/>
      <c r="E13" s="1245"/>
      <c r="F13" s="1245"/>
      <c r="G13" s="1246"/>
      <c r="H13" s="1239" t="s">
        <v>11</v>
      </c>
      <c r="I13" s="1240"/>
      <c r="J13" s="1240"/>
      <c r="K13" s="1240"/>
      <c r="L13" s="1240"/>
      <c r="M13" s="1240"/>
      <c r="N13" s="1240"/>
      <c r="O13" s="1240"/>
      <c r="P13" s="1240"/>
      <c r="Q13" s="1240"/>
      <c r="R13" s="336" t="s">
        <v>12</v>
      </c>
      <c r="S13" s="337" t="s">
        <v>13</v>
      </c>
    </row>
    <row r="14" spans="2:19" s="1" customFormat="1" ht="16.5" customHeight="1" thickTop="1">
      <c r="B14" s="4"/>
      <c r="C14" s="74"/>
      <c r="D14" s="377"/>
      <c r="E14" s="19"/>
      <c r="F14" s="5"/>
      <c r="G14" s="21"/>
      <c r="H14" s="398"/>
      <c r="I14" s="77"/>
      <c r="J14" s="54"/>
      <c r="K14" s="77"/>
      <c r="L14" s="54"/>
      <c r="M14" s="77"/>
      <c r="N14" s="54"/>
      <c r="O14" s="77"/>
      <c r="P14" s="55"/>
      <c r="Q14" s="56"/>
      <c r="R14" s="40"/>
      <c r="S14" s="66"/>
    </row>
    <row r="15" spans="2:19" s="464" customFormat="1" ht="19.350000000000001" customHeight="1">
      <c r="B15" s="468" t="str">
        <f>RAB!B121</f>
        <v>E</v>
      </c>
      <c r="C15" s="469" t="str">
        <f>RAB!C121</f>
        <v>PEKERJAAN KAMAR MANDI LANTAI 1</v>
      </c>
      <c r="D15" s="470"/>
      <c r="E15" s="471"/>
      <c r="F15" s="471"/>
      <c r="G15" s="472"/>
      <c r="H15" s="473"/>
      <c r="I15" s="474"/>
      <c r="J15" s="475"/>
      <c r="K15" s="474"/>
      <c r="L15" s="475"/>
      <c r="M15" s="474"/>
      <c r="N15" s="475"/>
      <c r="O15" s="476"/>
      <c r="P15" s="476"/>
      <c r="Q15" s="476"/>
      <c r="R15" s="477"/>
      <c r="S15" s="478"/>
    </row>
    <row r="16" spans="2:19" s="1" customFormat="1" ht="16.5" customHeight="1">
      <c r="B16" s="381"/>
      <c r="C16" s="465" t="str">
        <f>RAB!C122</f>
        <v>E.1</v>
      </c>
      <c r="D16" s="382" t="str">
        <f>RAB!D122</f>
        <v>PEKERJAAN KAMAR MANDI - A</v>
      </c>
      <c r="E16" s="383"/>
      <c r="F16" s="383"/>
      <c r="G16" s="384"/>
      <c r="H16" s="400"/>
      <c r="I16" s="385"/>
      <c r="J16" s="389"/>
      <c r="K16" s="385"/>
      <c r="L16" s="389"/>
      <c r="M16" s="385"/>
      <c r="N16" s="389"/>
      <c r="O16" s="385"/>
      <c r="P16" s="466"/>
      <c r="Q16" s="467"/>
      <c r="R16" s="386"/>
      <c r="S16" s="387"/>
    </row>
    <row r="17" spans="2:19" s="1" customFormat="1" ht="16.5" customHeight="1">
      <c r="B17" s="35"/>
      <c r="C17" s="48"/>
      <c r="D17" s="378">
        <f>RAB!D124</f>
        <v>1</v>
      </c>
      <c r="E17" s="8" t="str">
        <f>RAB!E124</f>
        <v>Pekerjaan Bongkaran</v>
      </c>
      <c r="F17" s="9"/>
      <c r="G17" s="36"/>
      <c r="H17" s="399"/>
      <c r="I17" s="78"/>
      <c r="J17" s="57"/>
      <c r="K17" s="78"/>
      <c r="L17" s="57"/>
      <c r="M17" s="78"/>
      <c r="N17" s="57"/>
      <c r="O17" s="78"/>
      <c r="P17" s="61"/>
      <c r="Q17" s="59"/>
      <c r="R17" s="41">
        <v>1</v>
      </c>
      <c r="S17" s="67" t="s">
        <v>20</v>
      </c>
    </row>
    <row r="18" spans="2:19" s="1" customFormat="1" ht="16.5" customHeight="1">
      <c r="B18" s="35"/>
      <c r="C18" s="48"/>
      <c r="D18" s="378">
        <f>RAB!D125</f>
        <v>2</v>
      </c>
      <c r="E18" s="8" t="str">
        <f>RAB!E125</f>
        <v>Pekerjaan Pembersihan</v>
      </c>
      <c r="F18" s="9"/>
      <c r="G18" s="36"/>
      <c r="H18" s="399"/>
      <c r="I18" s="78"/>
      <c r="J18" s="57"/>
      <c r="K18" s="78"/>
      <c r="L18" s="57"/>
      <c r="M18" s="78"/>
      <c r="N18" s="57"/>
      <c r="O18" s="78"/>
      <c r="P18" s="61"/>
      <c r="Q18" s="59"/>
      <c r="R18" s="41">
        <v>1</v>
      </c>
      <c r="S18" s="67" t="s">
        <v>20</v>
      </c>
    </row>
    <row r="19" spans="2:19" s="1" customFormat="1" ht="16.5" customHeight="1">
      <c r="B19" s="35"/>
      <c r="C19" s="48"/>
      <c r="D19" s="378"/>
      <c r="E19" s="8"/>
      <c r="F19" s="9"/>
      <c r="G19" s="36"/>
      <c r="H19" s="399"/>
      <c r="I19" s="78"/>
      <c r="J19" s="57"/>
      <c r="K19" s="78"/>
      <c r="L19" s="57"/>
      <c r="M19" s="78"/>
      <c r="N19" s="57"/>
      <c r="O19" s="78"/>
      <c r="P19" s="61"/>
      <c r="Q19" s="59"/>
      <c r="R19" s="41"/>
      <c r="S19" s="67"/>
    </row>
    <row r="20" spans="2:19" s="1" customFormat="1" ht="16.5" customHeight="1">
      <c r="B20" s="35"/>
      <c r="C20" s="48"/>
      <c r="D20" s="479" t="str">
        <f>RAB!D127</f>
        <v>PEKERJAAN LANTAI</v>
      </c>
      <c r="E20" s="8"/>
      <c r="F20" s="9"/>
      <c r="G20" s="36"/>
      <c r="H20" s="399"/>
      <c r="I20" s="78"/>
      <c r="J20" s="57"/>
      <c r="K20" s="78"/>
      <c r="L20" s="57"/>
      <c r="M20" s="78"/>
      <c r="N20" s="57"/>
      <c r="O20" s="78"/>
      <c r="P20" s="61"/>
      <c r="Q20" s="59"/>
      <c r="R20" s="41"/>
      <c r="S20" s="67"/>
    </row>
    <row r="21" spans="2:19" s="1" customFormat="1" ht="16.5" customHeight="1">
      <c r="B21" s="35"/>
      <c r="C21" s="48"/>
      <c r="D21" s="378">
        <f>RAB!D128</f>
        <v>1</v>
      </c>
      <c r="E21" s="8" t="str">
        <f>RAB!E128</f>
        <v xml:space="preserve">Sisip Lantai Keramik </v>
      </c>
      <c r="F21" s="9"/>
      <c r="G21" s="36"/>
      <c r="H21" s="399"/>
      <c r="I21" s="78"/>
      <c r="J21" s="57"/>
      <c r="K21" s="78"/>
      <c r="L21" s="57"/>
      <c r="M21" s="78"/>
      <c r="N21" s="57"/>
      <c r="O21" s="78"/>
      <c r="P21" s="61"/>
      <c r="Q21" s="59"/>
      <c r="R21" s="41">
        <f>P23</f>
        <v>15</v>
      </c>
      <c r="S21" s="67" t="s">
        <v>133</v>
      </c>
    </row>
    <row r="22" spans="2:19" s="1" customFormat="1" ht="16.5" customHeight="1">
      <c r="B22" s="35"/>
      <c r="C22" s="48"/>
      <c r="D22" s="378"/>
      <c r="E22" s="8"/>
      <c r="F22" s="9"/>
      <c r="G22" s="23"/>
      <c r="H22" s="392" t="s">
        <v>408</v>
      </c>
      <c r="I22" s="460"/>
      <c r="J22" s="461" t="s">
        <v>226</v>
      </c>
      <c r="K22" s="78"/>
      <c r="L22" s="57"/>
      <c r="M22" s="78"/>
      <c r="N22" s="57"/>
      <c r="O22" s="79"/>
      <c r="P22" s="61"/>
      <c r="Q22" s="59"/>
      <c r="R22" s="41"/>
      <c r="S22" s="67"/>
    </row>
    <row r="23" spans="2:19" s="1" customFormat="1" ht="16.5" customHeight="1">
      <c r="B23" s="35"/>
      <c r="C23" s="48"/>
      <c r="D23" s="378"/>
      <c r="E23" s="8"/>
      <c r="F23" s="9"/>
      <c r="G23" s="23"/>
      <c r="H23" s="392">
        <v>5</v>
      </c>
      <c r="I23" s="460" t="s">
        <v>49</v>
      </c>
      <c r="J23" s="461">
        <v>3</v>
      </c>
      <c r="K23" s="78"/>
      <c r="L23" s="57"/>
      <c r="M23" s="78"/>
      <c r="N23" s="57"/>
      <c r="O23" s="78" t="s">
        <v>50</v>
      </c>
      <c r="P23" s="61">
        <f>H23*J23</f>
        <v>15</v>
      </c>
      <c r="Q23" s="413" t="s">
        <v>133</v>
      </c>
      <c r="R23" s="41"/>
      <c r="S23" s="67"/>
    </row>
    <row r="24" spans="2:19" s="1" customFormat="1" ht="16.5" customHeight="1">
      <c r="B24" s="35"/>
      <c r="C24" s="48"/>
      <c r="D24" s="378"/>
      <c r="E24" s="8"/>
      <c r="F24" s="9"/>
      <c r="G24" s="36"/>
      <c r="H24" s="399"/>
      <c r="I24" s="78"/>
      <c r="J24" s="57"/>
      <c r="K24" s="78"/>
      <c r="L24" s="57"/>
      <c r="M24" s="78"/>
      <c r="N24" s="57"/>
      <c r="O24" s="78"/>
      <c r="P24" s="61"/>
      <c r="Q24" s="59"/>
      <c r="R24" s="41"/>
      <c r="S24" s="67"/>
    </row>
    <row r="25" spans="2:19" s="1" customFormat="1" ht="16.5" customHeight="1">
      <c r="B25" s="35"/>
      <c r="C25" s="48"/>
      <c r="D25" s="378">
        <f>RAB!D129</f>
        <v>2</v>
      </c>
      <c r="E25" s="8" t="str">
        <f>RAB!E129</f>
        <v xml:space="preserve">Sisip Keramik Dinding </v>
      </c>
      <c r="F25" s="9"/>
      <c r="G25" s="36"/>
      <c r="H25" s="399"/>
      <c r="I25" s="78"/>
      <c r="J25" s="57"/>
      <c r="K25" s="78"/>
      <c r="L25" s="57"/>
      <c r="M25" s="78"/>
      <c r="N25" s="57"/>
      <c r="O25" s="78"/>
      <c r="P25" s="61"/>
      <c r="Q25" s="59"/>
      <c r="R25" s="41">
        <f>P27</f>
        <v>15</v>
      </c>
      <c r="S25" s="67" t="s">
        <v>133</v>
      </c>
    </row>
    <row r="26" spans="2:19" s="1" customFormat="1" ht="16.5" customHeight="1">
      <c r="B26" s="35"/>
      <c r="C26" s="48"/>
      <c r="D26" s="378"/>
      <c r="E26" s="8"/>
      <c r="F26" s="9"/>
      <c r="G26" s="36"/>
      <c r="H26" s="392" t="s">
        <v>408</v>
      </c>
      <c r="I26" s="460"/>
      <c r="J26" s="461" t="s">
        <v>226</v>
      </c>
      <c r="K26" s="78"/>
      <c r="L26" s="57"/>
      <c r="M26" s="78"/>
      <c r="N26" s="57"/>
      <c r="O26" s="79"/>
      <c r="P26" s="61"/>
      <c r="Q26" s="59"/>
      <c r="R26" s="41"/>
      <c r="S26" s="67"/>
    </row>
    <row r="27" spans="2:19" s="1" customFormat="1" ht="16.5" customHeight="1">
      <c r="B27" s="35"/>
      <c r="C27" s="48"/>
      <c r="D27" s="378"/>
      <c r="E27" s="8"/>
      <c r="F27" s="9"/>
      <c r="G27" s="36"/>
      <c r="H27" s="392">
        <v>5</v>
      </c>
      <c r="I27" s="460" t="s">
        <v>49</v>
      </c>
      <c r="J27" s="461">
        <v>3</v>
      </c>
      <c r="K27" s="78"/>
      <c r="L27" s="57"/>
      <c r="M27" s="78"/>
      <c r="N27" s="57"/>
      <c r="O27" s="78" t="s">
        <v>50</v>
      </c>
      <c r="P27" s="61">
        <f>H27*J27</f>
        <v>15</v>
      </c>
      <c r="Q27" s="413" t="s">
        <v>133</v>
      </c>
      <c r="R27" s="41"/>
      <c r="S27" s="67"/>
    </row>
    <row r="28" spans="2:19" s="1" customFormat="1" ht="16.5" customHeight="1">
      <c r="B28" s="35"/>
      <c r="C28" s="48"/>
      <c r="D28" s="378"/>
      <c r="E28" s="8"/>
      <c r="F28" s="9"/>
      <c r="G28" s="36"/>
      <c r="H28" s="399"/>
      <c r="I28" s="78"/>
      <c r="J28" s="57"/>
      <c r="K28" s="78"/>
      <c r="L28" s="57"/>
      <c r="M28" s="78"/>
      <c r="N28" s="57"/>
      <c r="O28" s="78"/>
      <c r="P28" s="61"/>
      <c r="Q28" s="59"/>
      <c r="R28" s="41"/>
      <c r="S28" s="67"/>
    </row>
    <row r="29" spans="2:19" s="1" customFormat="1" ht="16.5" customHeight="1">
      <c r="B29" s="35"/>
      <c r="C29" s="48"/>
      <c r="D29" s="479" t="str">
        <f>RAB!D131</f>
        <v>PEKERJAAN INSTALASI LISTRIK</v>
      </c>
      <c r="E29" s="8"/>
      <c r="F29" s="9"/>
      <c r="G29" s="36"/>
      <c r="H29" s="399"/>
      <c r="I29" s="78"/>
      <c r="J29" s="57"/>
      <c r="K29" s="78"/>
      <c r="L29" s="57"/>
      <c r="M29" s="78"/>
      <c r="N29" s="57"/>
      <c r="O29" s="78"/>
      <c r="P29" s="61"/>
      <c r="Q29" s="59"/>
      <c r="R29" s="41"/>
      <c r="S29" s="67"/>
    </row>
    <row r="30" spans="2:19" s="1" customFormat="1" ht="16.5" customHeight="1">
      <c r="B30" s="35"/>
      <c r="C30" s="48"/>
      <c r="D30" s="378">
        <f>RAB!D133</f>
        <v>2</v>
      </c>
      <c r="E30" s="8" t="str">
        <f>RAB!E133</f>
        <v>Lampu LED 7 watt + Fitting Downlight</v>
      </c>
      <c r="F30" s="9"/>
      <c r="G30" s="36"/>
      <c r="H30" s="399"/>
      <c r="I30" s="78"/>
      <c r="J30" s="57"/>
      <c r="K30" s="78"/>
      <c r="L30" s="57"/>
      <c r="M30" s="78"/>
      <c r="N30" s="57"/>
      <c r="O30" s="78"/>
      <c r="P30" s="61"/>
      <c r="Q30" s="59"/>
      <c r="R30" s="41">
        <v>15</v>
      </c>
      <c r="S30" s="67" t="s">
        <v>62</v>
      </c>
    </row>
    <row r="31" spans="2:19" s="1" customFormat="1" ht="16.5" customHeight="1">
      <c r="B31" s="35"/>
      <c r="C31" s="48"/>
      <c r="D31" s="378"/>
      <c r="E31" s="8"/>
      <c r="F31" s="9"/>
      <c r="G31" s="36"/>
      <c r="H31" s="399"/>
      <c r="I31" s="78"/>
      <c r="J31" s="57"/>
      <c r="K31" s="78"/>
      <c r="L31" s="57"/>
      <c r="M31" s="78"/>
      <c r="N31" s="57"/>
      <c r="O31" s="78"/>
      <c r="P31" s="61"/>
      <c r="Q31" s="59"/>
      <c r="R31" s="41"/>
      <c r="S31" s="67"/>
    </row>
    <row r="32" spans="2:19" s="1" customFormat="1" ht="16.5" customHeight="1">
      <c r="B32" s="35"/>
      <c r="C32" s="48"/>
      <c r="D32" s="479" t="str">
        <f>RAB!D135</f>
        <v>PEKERJAAN SANITAIR &amp; PLUMBING</v>
      </c>
      <c r="E32" s="8"/>
      <c r="F32" s="9"/>
      <c r="G32" s="36"/>
      <c r="H32" s="399"/>
      <c r="I32" s="78"/>
      <c r="J32" s="57"/>
      <c r="K32" s="78"/>
      <c r="L32" s="57"/>
      <c r="M32" s="78"/>
      <c r="N32" s="57"/>
      <c r="O32" s="78"/>
      <c r="P32" s="61"/>
      <c r="Q32" s="59"/>
      <c r="R32" s="41"/>
      <c r="S32" s="67"/>
    </row>
    <row r="33" spans="2:19" s="1" customFormat="1" ht="16.5" customHeight="1">
      <c r="B33" s="35"/>
      <c r="C33" s="48"/>
      <c r="D33" s="378">
        <f>RAB!D136</f>
        <v>1</v>
      </c>
      <c r="E33" s="8" t="str">
        <f>RAB!E136</f>
        <v>Pipa Air Bersih PVC Dia. 15 mm (1/2")</v>
      </c>
      <c r="F33" s="9"/>
      <c r="G33" s="36"/>
      <c r="H33" s="399"/>
      <c r="I33" s="78"/>
      <c r="J33" s="57"/>
      <c r="K33" s="78"/>
      <c r="L33" s="57"/>
      <c r="M33" s="78"/>
      <c r="N33" s="57"/>
      <c r="O33" s="78"/>
      <c r="P33" s="61"/>
      <c r="Q33" s="59"/>
      <c r="R33" s="41">
        <v>25</v>
      </c>
      <c r="S33" s="67" t="s">
        <v>21</v>
      </c>
    </row>
    <row r="34" spans="2:19" s="1" customFormat="1" ht="16.5" customHeight="1">
      <c r="B34" s="35"/>
      <c r="C34" s="48"/>
      <c r="D34" s="378">
        <f>RAB!D137</f>
        <v>2</v>
      </c>
      <c r="E34" s="8" t="str">
        <f>RAB!E137</f>
        <v>Kran Air Stainless 1/2"</v>
      </c>
      <c r="F34" s="9"/>
      <c r="G34" s="36"/>
      <c r="H34" s="399"/>
      <c r="I34" s="78"/>
      <c r="J34" s="57"/>
      <c r="K34" s="78"/>
      <c r="L34" s="57"/>
      <c r="M34" s="78"/>
      <c r="N34" s="57"/>
      <c r="O34" s="78"/>
      <c r="P34" s="61"/>
      <c r="Q34" s="59"/>
      <c r="R34" s="41">
        <v>10</v>
      </c>
      <c r="S34" s="67" t="s">
        <v>62</v>
      </c>
    </row>
    <row r="35" spans="2:19" s="1" customFormat="1" ht="16.5" customHeight="1">
      <c r="B35" s="35"/>
      <c r="C35" s="48"/>
      <c r="D35" s="378">
        <f>RAB!D138</f>
        <v>3</v>
      </c>
      <c r="E35" s="8" t="str">
        <f>RAB!E138</f>
        <v>Floordrain Stainless</v>
      </c>
      <c r="F35" s="9"/>
      <c r="G35" s="36"/>
      <c r="H35" s="399"/>
      <c r="I35" s="78"/>
      <c r="J35" s="57"/>
      <c r="K35" s="78"/>
      <c r="L35" s="57"/>
      <c r="M35" s="78"/>
      <c r="N35" s="57"/>
      <c r="O35" s="78"/>
      <c r="P35" s="61"/>
      <c r="Q35" s="59"/>
      <c r="R35" s="41">
        <f>R34</f>
        <v>10</v>
      </c>
      <c r="S35" s="67" t="s">
        <v>62</v>
      </c>
    </row>
    <row r="36" spans="2:19" s="1" customFormat="1" ht="16.5" customHeight="1">
      <c r="B36" s="35"/>
      <c r="C36" s="48"/>
      <c r="D36" s="378"/>
      <c r="E36" s="8"/>
      <c r="F36" s="9"/>
      <c r="G36" s="36"/>
      <c r="H36" s="399"/>
      <c r="I36" s="78"/>
      <c r="J36" s="57"/>
      <c r="K36" s="78"/>
      <c r="L36" s="57"/>
      <c r="M36" s="78"/>
      <c r="N36" s="57"/>
      <c r="O36" s="78"/>
      <c r="P36" s="61"/>
      <c r="Q36" s="59"/>
      <c r="R36" s="41"/>
      <c r="S36" s="67"/>
    </row>
    <row r="37" spans="2:19" s="1" customFormat="1" ht="16.5" customHeight="1">
      <c r="B37" s="35"/>
      <c r="C37" s="48"/>
      <c r="D37" s="479" t="str">
        <f>RAB!D140</f>
        <v xml:space="preserve">PEKERJAAN PINTU </v>
      </c>
      <c r="E37" s="8"/>
      <c r="F37" s="9"/>
      <c r="G37" s="36"/>
      <c r="H37" s="399"/>
      <c r="I37" s="78"/>
      <c r="J37" s="57"/>
      <c r="K37" s="78"/>
      <c r="L37" s="57"/>
      <c r="M37" s="78"/>
      <c r="N37" s="57"/>
      <c r="O37" s="78"/>
      <c r="P37" s="61"/>
      <c r="Q37" s="59"/>
      <c r="R37" s="41"/>
      <c r="S37" s="67"/>
    </row>
    <row r="38" spans="2:19" s="1" customFormat="1" ht="16.5" customHeight="1">
      <c r="B38" s="35"/>
      <c r="C38" s="48"/>
      <c r="D38" s="378">
        <f>RAB!D141</f>
        <v>1</v>
      </c>
      <c r="E38" s="8" t="str">
        <f>RAB!E141</f>
        <v>Pas. Kunci Tanam</v>
      </c>
      <c r="F38" s="9"/>
      <c r="G38" s="36"/>
      <c r="H38" s="399"/>
      <c r="I38" s="78"/>
      <c r="J38" s="57"/>
      <c r="K38" s="78"/>
      <c r="L38" s="57"/>
      <c r="M38" s="78"/>
      <c r="N38" s="57"/>
      <c r="O38" s="78"/>
      <c r="P38" s="61"/>
      <c r="Q38" s="59"/>
      <c r="R38" s="41">
        <v>5</v>
      </c>
      <c r="S38" s="67" t="s">
        <v>62</v>
      </c>
    </row>
    <row r="39" spans="2:19" s="1" customFormat="1" ht="16.5" customHeight="1">
      <c r="B39" s="35"/>
      <c r="C39" s="48"/>
      <c r="D39" s="378">
        <f>RAB!D142</f>
        <v>2</v>
      </c>
      <c r="E39" s="8" t="str">
        <f>RAB!E142</f>
        <v>Pas. Pintu Toilet Aluminium</v>
      </c>
      <c r="F39" s="9"/>
      <c r="G39" s="36"/>
      <c r="H39" s="399"/>
      <c r="I39" s="78"/>
      <c r="J39" s="57"/>
      <c r="K39" s="78"/>
      <c r="L39" s="57"/>
      <c r="M39" s="78"/>
      <c r="N39" s="57"/>
      <c r="O39" s="78"/>
      <c r="P39" s="61"/>
      <c r="Q39" s="59"/>
      <c r="R39" s="41">
        <f>R34</f>
        <v>10</v>
      </c>
      <c r="S39" s="67" t="s">
        <v>62</v>
      </c>
    </row>
    <row r="40" spans="2:19" s="1" customFormat="1" ht="16.5" customHeight="1">
      <c r="B40" s="35"/>
      <c r="C40" s="48"/>
      <c r="D40" s="378"/>
      <c r="E40" s="8"/>
      <c r="F40" s="9"/>
      <c r="G40" s="36"/>
      <c r="H40" s="399"/>
      <c r="I40" s="78"/>
      <c r="J40" s="57"/>
      <c r="K40" s="78"/>
      <c r="L40" s="57"/>
      <c r="M40" s="78"/>
      <c r="N40" s="57"/>
      <c r="O40" s="78"/>
      <c r="P40" s="61"/>
      <c r="Q40" s="59"/>
      <c r="R40" s="41"/>
      <c r="S40" s="67"/>
    </row>
    <row r="41" spans="2:19" s="1" customFormat="1" ht="16.5" customHeight="1">
      <c r="B41" s="35"/>
      <c r="C41" s="48"/>
      <c r="D41" s="479" t="str">
        <f>RAB!D144</f>
        <v>PEKERJAAN PENGECATAN</v>
      </c>
      <c r="E41" s="8"/>
      <c r="F41" s="9"/>
      <c r="G41" s="36"/>
      <c r="H41" s="399"/>
      <c r="I41" s="78"/>
      <c r="J41" s="57"/>
      <c r="K41" s="78"/>
      <c r="L41" s="57"/>
      <c r="M41" s="78"/>
      <c r="N41" s="57"/>
      <c r="O41" s="78"/>
      <c r="P41" s="61"/>
      <c r="Q41" s="59"/>
      <c r="R41" s="41"/>
      <c r="S41" s="67"/>
    </row>
    <row r="42" spans="2:19" s="1" customFormat="1" ht="16.5" customHeight="1">
      <c r="B42" s="35"/>
      <c r="C42" s="48"/>
      <c r="D42" s="378">
        <f>RAB!D145</f>
        <v>1</v>
      </c>
      <c r="E42" s="8" t="str">
        <f>RAB!E145</f>
        <v>Pengecatan Cat Tembok Dinding Interior</v>
      </c>
      <c r="F42" s="9"/>
      <c r="G42" s="36"/>
      <c r="H42" s="399"/>
      <c r="I42" s="78"/>
      <c r="J42" s="57"/>
      <c r="K42" s="78"/>
      <c r="L42" s="57"/>
      <c r="M42" s="78"/>
      <c r="N42" s="57"/>
      <c r="O42" s="78"/>
      <c r="P42" s="61"/>
      <c r="Q42" s="59"/>
      <c r="R42" s="41">
        <f>P46</f>
        <v>74</v>
      </c>
      <c r="S42" s="67" t="s">
        <v>133</v>
      </c>
    </row>
    <row r="43" spans="2:19" s="1" customFormat="1" ht="16.5" customHeight="1">
      <c r="B43" s="35"/>
      <c r="C43" s="48"/>
      <c r="D43" s="378"/>
      <c r="E43" s="8"/>
      <c r="F43" s="9"/>
      <c r="G43" s="36"/>
      <c r="H43" s="392" t="s">
        <v>408</v>
      </c>
      <c r="I43" s="460"/>
      <c r="J43" s="461" t="s">
        <v>226</v>
      </c>
      <c r="K43" s="460"/>
      <c r="L43" s="461" t="s">
        <v>52</v>
      </c>
      <c r="M43" s="78"/>
      <c r="N43" s="57"/>
      <c r="O43" s="78"/>
      <c r="P43" s="61"/>
      <c r="Q43" s="59"/>
      <c r="R43" s="41"/>
      <c r="S43" s="67"/>
    </row>
    <row r="44" spans="2:19" s="1" customFormat="1" ht="16.5" customHeight="1">
      <c r="B44" s="35"/>
      <c r="C44" s="48"/>
      <c r="D44" s="378"/>
      <c r="E44" s="8"/>
      <c r="F44" s="9"/>
      <c r="G44" s="36" t="s">
        <v>423</v>
      </c>
      <c r="H44" s="392">
        <f>(2*2)+(1.25*2)</f>
        <v>6.5</v>
      </c>
      <c r="I44" s="460" t="s">
        <v>49</v>
      </c>
      <c r="J44" s="461">
        <v>1</v>
      </c>
      <c r="K44" s="460" t="s">
        <v>49</v>
      </c>
      <c r="L44" s="461">
        <v>10</v>
      </c>
      <c r="M44" s="78"/>
      <c r="N44" s="57"/>
      <c r="O44" s="78" t="s">
        <v>50</v>
      </c>
      <c r="P44" s="58">
        <f>H44*J44*L44</f>
        <v>65</v>
      </c>
      <c r="Q44" s="59" t="s">
        <v>133</v>
      </c>
      <c r="R44" s="41"/>
      <c r="S44" s="67"/>
    </row>
    <row r="45" spans="2:19" s="1" customFormat="1" ht="16.5" customHeight="1">
      <c r="B45" s="35"/>
      <c r="C45" s="48"/>
      <c r="D45" s="378"/>
      <c r="E45" s="8"/>
      <c r="F45" s="9"/>
      <c r="G45" s="36"/>
      <c r="H45" s="392">
        <f>(2.5*2)+(2*2)</f>
        <v>9</v>
      </c>
      <c r="I45" s="460" t="s">
        <v>49</v>
      </c>
      <c r="J45" s="461">
        <v>1</v>
      </c>
      <c r="K45" s="460" t="s">
        <v>49</v>
      </c>
      <c r="L45" s="461">
        <v>1</v>
      </c>
      <c r="M45" s="78"/>
      <c r="N45" s="57"/>
      <c r="O45" s="78" t="s">
        <v>50</v>
      </c>
      <c r="P45" s="58">
        <f>H45*J45*L45</f>
        <v>9</v>
      </c>
      <c r="Q45" s="59" t="s">
        <v>133</v>
      </c>
      <c r="R45" s="41"/>
      <c r="S45" s="67"/>
    </row>
    <row r="46" spans="2:19" s="1" customFormat="1" ht="16.5" customHeight="1">
      <c r="B46" s="35"/>
      <c r="C46" s="48"/>
      <c r="D46" s="378"/>
      <c r="E46" s="8"/>
      <c r="F46" s="9"/>
      <c r="G46" s="36"/>
      <c r="H46" s="392"/>
      <c r="I46" s="460"/>
      <c r="J46" s="461"/>
      <c r="K46" s="460"/>
      <c r="L46" s="461"/>
      <c r="M46" s="78"/>
      <c r="N46" s="57"/>
      <c r="O46" s="78" t="s">
        <v>50</v>
      </c>
      <c r="P46" s="61">
        <f>SUM(P44:P45)</f>
        <v>74</v>
      </c>
      <c r="Q46" s="413" t="s">
        <v>133</v>
      </c>
      <c r="R46" s="41"/>
      <c r="S46" s="67"/>
    </row>
    <row r="47" spans="2:19" s="1" customFormat="1" ht="16.5" customHeight="1">
      <c r="B47" s="35"/>
      <c r="C47" s="48"/>
      <c r="D47" s="378"/>
      <c r="E47" s="8"/>
      <c r="F47" s="9"/>
      <c r="G47" s="36"/>
      <c r="H47" s="399"/>
      <c r="I47" s="78"/>
      <c r="J47" s="57"/>
      <c r="K47" s="78"/>
      <c r="L47" s="57"/>
      <c r="M47" s="78"/>
      <c r="N47" s="57"/>
      <c r="O47" s="78"/>
      <c r="P47" s="61"/>
      <c r="Q47" s="59"/>
      <c r="R47" s="41"/>
      <c r="S47" s="67"/>
    </row>
    <row r="48" spans="2:19" s="1" customFormat="1" ht="16.5" customHeight="1">
      <c r="B48" s="381"/>
      <c r="C48" s="465" t="str">
        <f>RAB!C148</f>
        <v>E.2</v>
      </c>
      <c r="D48" s="382" t="str">
        <f>RAB!D148</f>
        <v>PEKERJAAN KAMAR MANDI - B</v>
      </c>
      <c r="E48" s="383"/>
      <c r="F48" s="383"/>
      <c r="G48" s="384"/>
      <c r="H48" s="400"/>
      <c r="I48" s="385"/>
      <c r="J48" s="389"/>
      <c r="K48" s="385"/>
      <c r="L48" s="389"/>
      <c r="M48" s="385"/>
      <c r="N48" s="389"/>
      <c r="O48" s="385"/>
      <c r="P48" s="466"/>
      <c r="Q48" s="467"/>
      <c r="R48" s="386"/>
      <c r="S48" s="387"/>
    </row>
    <row r="49" spans="2:19" s="1" customFormat="1" ht="16.5" customHeight="1">
      <c r="B49" s="35"/>
      <c r="C49" s="48"/>
      <c r="D49" s="378">
        <f>RAB!D150</f>
        <v>1</v>
      </c>
      <c r="E49" s="8" t="str">
        <f>RAB!E150</f>
        <v>Pekerjaan Bongkaran</v>
      </c>
      <c r="F49" s="9"/>
      <c r="G49" s="36"/>
      <c r="H49" s="399"/>
      <c r="I49" s="78"/>
      <c r="J49" s="57"/>
      <c r="K49" s="78"/>
      <c r="L49" s="57"/>
      <c r="M49" s="78"/>
      <c r="N49" s="57"/>
      <c r="O49" s="78"/>
      <c r="P49" s="61"/>
      <c r="Q49" s="59"/>
      <c r="R49" s="41">
        <v>1</v>
      </c>
      <c r="S49" s="67" t="s">
        <v>20</v>
      </c>
    </row>
    <row r="50" spans="2:19" s="1" customFormat="1" ht="16.5" customHeight="1">
      <c r="B50" s="35"/>
      <c r="C50" s="48"/>
      <c r="D50" s="378">
        <f>RAB!D151</f>
        <v>2</v>
      </c>
      <c r="E50" s="8" t="str">
        <f>RAB!E151</f>
        <v>Pekerjaan Pembersihan</v>
      </c>
      <c r="F50" s="9"/>
      <c r="G50" s="36"/>
      <c r="H50" s="399"/>
      <c r="I50" s="78"/>
      <c r="J50" s="57"/>
      <c r="K50" s="78"/>
      <c r="L50" s="57"/>
      <c r="M50" s="78"/>
      <c r="N50" s="57"/>
      <c r="O50" s="78"/>
      <c r="P50" s="61"/>
      <c r="Q50" s="59"/>
      <c r="R50" s="41">
        <v>1</v>
      </c>
      <c r="S50" s="67" t="s">
        <v>20</v>
      </c>
    </row>
    <row r="51" spans="2:19" s="1" customFormat="1" ht="16.5" customHeight="1">
      <c r="B51" s="35"/>
      <c r="C51" s="48"/>
      <c r="D51" s="378"/>
      <c r="E51" s="8"/>
      <c r="F51" s="9"/>
      <c r="G51" s="36"/>
      <c r="H51" s="399"/>
      <c r="I51" s="78"/>
      <c r="J51" s="57"/>
      <c r="K51" s="78"/>
      <c r="L51" s="57"/>
      <c r="M51" s="78"/>
      <c r="N51" s="57"/>
      <c r="O51" s="78"/>
      <c r="P51" s="61"/>
      <c r="Q51" s="59"/>
      <c r="R51" s="41"/>
      <c r="S51" s="67"/>
    </row>
    <row r="52" spans="2:19" s="1" customFormat="1" ht="16.5" customHeight="1">
      <c r="B52" s="35"/>
      <c r="C52" s="48"/>
      <c r="D52" s="479" t="str">
        <f>RAB!D153</f>
        <v>PEKERJAAN LANTAI</v>
      </c>
      <c r="E52" s="8"/>
      <c r="F52" s="9"/>
      <c r="G52" s="36"/>
      <c r="H52" s="399"/>
      <c r="I52" s="78"/>
      <c r="J52" s="57"/>
      <c r="K52" s="78"/>
      <c r="L52" s="57"/>
      <c r="M52" s="78"/>
      <c r="N52" s="57"/>
      <c r="O52" s="78"/>
      <c r="P52" s="61"/>
      <c r="Q52" s="59"/>
      <c r="R52" s="41"/>
      <c r="S52" s="67"/>
    </row>
    <row r="53" spans="2:19" s="1" customFormat="1" ht="16.5" customHeight="1">
      <c r="B53" s="35"/>
      <c r="C53" s="48"/>
      <c r="D53" s="378">
        <f>RAB!D154</f>
        <v>1</v>
      </c>
      <c r="E53" s="8" t="str">
        <f>RAB!E154</f>
        <v xml:space="preserve">Sisip Lantai Keramik </v>
      </c>
      <c r="F53" s="9"/>
      <c r="G53" s="36"/>
      <c r="H53" s="399"/>
      <c r="I53" s="78"/>
      <c r="J53" s="57"/>
      <c r="K53" s="78"/>
      <c r="L53" s="57"/>
      <c r="M53" s="78"/>
      <c r="N53" s="57"/>
      <c r="O53" s="78"/>
      <c r="P53" s="61"/>
      <c r="Q53" s="59"/>
      <c r="R53" s="41">
        <f>P55</f>
        <v>9</v>
      </c>
      <c r="S53" s="67" t="s">
        <v>133</v>
      </c>
    </row>
    <row r="54" spans="2:19" s="1" customFormat="1" ht="16.5" customHeight="1">
      <c r="B54" s="35"/>
      <c r="C54" s="48"/>
      <c r="D54" s="378"/>
      <c r="E54" s="8"/>
      <c r="F54" s="9"/>
      <c r="G54" s="23"/>
      <c r="H54" s="392" t="s">
        <v>408</v>
      </c>
      <c r="I54" s="460"/>
      <c r="J54" s="461" t="s">
        <v>226</v>
      </c>
      <c r="K54" s="78"/>
      <c r="L54" s="57"/>
      <c r="M54" s="78"/>
      <c r="N54" s="57"/>
      <c r="O54" s="79"/>
      <c r="P54" s="61"/>
      <c r="Q54" s="59"/>
      <c r="R54" s="41"/>
      <c r="S54" s="67"/>
    </row>
    <row r="55" spans="2:19" s="1" customFormat="1" ht="16.5" customHeight="1">
      <c r="B55" s="35"/>
      <c r="C55" s="48"/>
      <c r="D55" s="378"/>
      <c r="E55" s="8"/>
      <c r="F55" s="9"/>
      <c r="G55" s="23"/>
      <c r="H55" s="392">
        <v>3</v>
      </c>
      <c r="I55" s="460" t="s">
        <v>49</v>
      </c>
      <c r="J55" s="461">
        <v>3</v>
      </c>
      <c r="K55" s="78"/>
      <c r="L55" s="57"/>
      <c r="M55" s="78"/>
      <c r="N55" s="57"/>
      <c r="O55" s="78" t="s">
        <v>50</v>
      </c>
      <c r="P55" s="61">
        <f>H55*J55</f>
        <v>9</v>
      </c>
      <c r="Q55" s="413" t="s">
        <v>133</v>
      </c>
      <c r="R55" s="41"/>
      <c r="S55" s="67"/>
    </row>
    <row r="56" spans="2:19" s="1" customFormat="1" ht="16.5" customHeight="1">
      <c r="B56" s="35"/>
      <c r="C56" s="48"/>
      <c r="D56" s="378"/>
      <c r="E56" s="8"/>
      <c r="F56" s="9"/>
      <c r="G56" s="36"/>
      <c r="H56" s="399"/>
      <c r="I56" s="78"/>
      <c r="J56" s="57"/>
      <c r="K56" s="78"/>
      <c r="L56" s="57"/>
      <c r="M56" s="78"/>
      <c r="N56" s="57"/>
      <c r="O56" s="78"/>
      <c r="P56" s="61"/>
      <c r="Q56" s="59"/>
      <c r="R56" s="41"/>
      <c r="S56" s="67"/>
    </row>
    <row r="57" spans="2:19" s="1" customFormat="1" ht="16.5" customHeight="1">
      <c r="B57" s="35"/>
      <c r="C57" s="48"/>
      <c r="D57" s="378">
        <f>RAB!D155</f>
        <v>2</v>
      </c>
      <c r="E57" s="8" t="str">
        <f>RAB!E155</f>
        <v xml:space="preserve">Sisip Keramik Dinding </v>
      </c>
      <c r="F57" s="9"/>
      <c r="G57" s="36"/>
      <c r="H57" s="399"/>
      <c r="I57" s="78"/>
      <c r="J57" s="57"/>
      <c r="K57" s="78"/>
      <c r="L57" s="57"/>
      <c r="M57" s="78"/>
      <c r="N57" s="57"/>
      <c r="O57" s="78"/>
      <c r="P57" s="61"/>
      <c r="Q57" s="59"/>
      <c r="R57" s="41">
        <f>P59</f>
        <v>9</v>
      </c>
      <c r="S57" s="67" t="s">
        <v>133</v>
      </c>
    </row>
    <row r="58" spans="2:19" s="1" customFormat="1" ht="16.5" customHeight="1">
      <c r="B58" s="35"/>
      <c r="C58" s="48"/>
      <c r="D58" s="378"/>
      <c r="E58" s="8"/>
      <c r="F58" s="9"/>
      <c r="G58" s="36"/>
      <c r="H58" s="392" t="s">
        <v>408</v>
      </c>
      <c r="I58" s="460"/>
      <c r="J58" s="461" t="s">
        <v>226</v>
      </c>
      <c r="K58" s="78"/>
      <c r="L58" s="57"/>
      <c r="M58" s="78"/>
      <c r="N58" s="57"/>
      <c r="O58" s="79"/>
      <c r="P58" s="61"/>
      <c r="Q58" s="59"/>
      <c r="R58" s="41"/>
      <c r="S58" s="67"/>
    </row>
    <row r="59" spans="2:19" s="1" customFormat="1" ht="16.5" customHeight="1">
      <c r="B59" s="35"/>
      <c r="C59" s="48"/>
      <c r="D59" s="378"/>
      <c r="E59" s="8"/>
      <c r="F59" s="9"/>
      <c r="G59" s="36"/>
      <c r="H59" s="392">
        <v>3</v>
      </c>
      <c r="I59" s="460" t="s">
        <v>49</v>
      </c>
      <c r="J59" s="461">
        <v>3</v>
      </c>
      <c r="K59" s="78"/>
      <c r="L59" s="57"/>
      <c r="M59" s="78"/>
      <c r="N59" s="57"/>
      <c r="O59" s="78" t="s">
        <v>50</v>
      </c>
      <c r="P59" s="61">
        <f>H59*J59</f>
        <v>9</v>
      </c>
      <c r="Q59" s="413" t="s">
        <v>133</v>
      </c>
      <c r="R59" s="41"/>
      <c r="S59" s="67"/>
    </row>
    <row r="60" spans="2:19" s="1" customFormat="1" ht="16.5" customHeight="1">
      <c r="B60" s="35"/>
      <c r="C60" s="48"/>
      <c r="D60" s="378"/>
      <c r="E60" s="8"/>
      <c r="F60" s="9"/>
      <c r="G60" s="36"/>
      <c r="H60" s="399"/>
      <c r="I60" s="78"/>
      <c r="J60" s="57"/>
      <c r="K60" s="78"/>
      <c r="L60" s="57"/>
      <c r="M60" s="78"/>
      <c r="N60" s="57"/>
      <c r="O60" s="78"/>
      <c r="P60" s="61"/>
      <c r="Q60" s="59"/>
      <c r="R60" s="41"/>
      <c r="S60" s="67"/>
    </row>
    <row r="61" spans="2:19" s="1" customFormat="1" ht="16.5" customHeight="1">
      <c r="B61" s="35"/>
      <c r="C61" s="48"/>
      <c r="D61" s="479" t="str">
        <f>RAB!D157</f>
        <v>PEKERJAAN INSTALASI LISTRIK</v>
      </c>
      <c r="E61" s="8"/>
      <c r="F61" s="9"/>
      <c r="G61" s="36"/>
      <c r="H61" s="399"/>
      <c r="I61" s="78"/>
      <c r="J61" s="57"/>
      <c r="K61" s="78"/>
      <c r="L61" s="57"/>
      <c r="M61" s="78"/>
      <c r="N61" s="57"/>
      <c r="O61" s="78"/>
      <c r="P61" s="61"/>
      <c r="Q61" s="59"/>
      <c r="R61" s="41"/>
      <c r="S61" s="67"/>
    </row>
    <row r="62" spans="2:19" s="1" customFormat="1" ht="16.5" customHeight="1">
      <c r="B62" s="35"/>
      <c r="C62" s="48"/>
      <c r="D62" s="378">
        <f>RAB!D159</f>
        <v>1</v>
      </c>
      <c r="E62" s="8" t="str">
        <f>RAB!E159</f>
        <v>Lampu LED 7 watt + Fitting Downlight</v>
      </c>
      <c r="F62" s="9"/>
      <c r="G62" s="36"/>
      <c r="H62" s="399"/>
      <c r="I62" s="78"/>
      <c r="J62" s="57"/>
      <c r="K62" s="78"/>
      <c r="L62" s="57"/>
      <c r="M62" s="78"/>
      <c r="N62" s="57"/>
      <c r="O62" s="78"/>
      <c r="P62" s="61"/>
      <c r="Q62" s="59"/>
      <c r="R62" s="41">
        <v>10</v>
      </c>
      <c r="S62" s="67" t="s">
        <v>62</v>
      </c>
    </row>
    <row r="63" spans="2:19" s="1" customFormat="1" ht="16.5" customHeight="1">
      <c r="B63" s="35"/>
      <c r="C63" s="48"/>
      <c r="D63" s="378"/>
      <c r="E63" s="8"/>
      <c r="F63" s="9"/>
      <c r="G63" s="36"/>
      <c r="H63" s="399"/>
      <c r="I63" s="78"/>
      <c r="J63" s="57"/>
      <c r="K63" s="78"/>
      <c r="L63" s="57"/>
      <c r="M63" s="78"/>
      <c r="N63" s="57"/>
      <c r="O63" s="78"/>
      <c r="P63" s="61"/>
      <c r="Q63" s="59"/>
      <c r="R63" s="41"/>
      <c r="S63" s="67"/>
    </row>
    <row r="64" spans="2:19" s="1" customFormat="1" ht="16.5" customHeight="1">
      <c r="B64" s="35"/>
      <c r="C64" s="48"/>
      <c r="D64" s="479" t="str">
        <f>RAB!D161</f>
        <v>PEKERJAAN SANITAIR &amp; PLUMBING</v>
      </c>
      <c r="E64" s="8"/>
      <c r="F64" s="9"/>
      <c r="G64" s="36"/>
      <c r="H64" s="399"/>
      <c r="I64" s="78"/>
      <c r="J64" s="57"/>
      <c r="K64" s="78"/>
      <c r="L64" s="57"/>
      <c r="M64" s="78"/>
      <c r="N64" s="57"/>
      <c r="O64" s="78"/>
      <c r="P64" s="61"/>
      <c r="Q64" s="59"/>
      <c r="R64" s="41"/>
      <c r="S64" s="67"/>
    </row>
    <row r="65" spans="2:19" s="1" customFormat="1" ht="16.5" customHeight="1">
      <c r="B65" s="35"/>
      <c r="C65" s="48"/>
      <c r="D65" s="378">
        <f>RAB!D162</f>
        <v>1</v>
      </c>
      <c r="E65" s="8" t="str">
        <f>RAB!E162</f>
        <v>Pipa Air Bersih PVC Dia. 15 mm (1/2")</v>
      </c>
      <c r="F65" s="9"/>
      <c r="G65" s="36"/>
      <c r="H65" s="399"/>
      <c r="I65" s="78"/>
      <c r="J65" s="57"/>
      <c r="K65" s="78"/>
      <c r="L65" s="57"/>
      <c r="M65" s="78"/>
      <c r="N65" s="57"/>
      <c r="O65" s="78"/>
      <c r="P65" s="61"/>
      <c r="Q65" s="59"/>
      <c r="R65" s="41">
        <v>25</v>
      </c>
      <c r="S65" s="67" t="s">
        <v>21</v>
      </c>
    </row>
    <row r="66" spans="2:19" s="1" customFormat="1" ht="16.5" customHeight="1">
      <c r="B66" s="35"/>
      <c r="C66" s="48"/>
      <c r="D66" s="378">
        <f>RAB!D163</f>
        <v>2</v>
      </c>
      <c r="E66" s="8" t="str">
        <f>RAB!E163</f>
        <v>Kran Air Stainless 1/2"</v>
      </c>
      <c r="F66" s="9"/>
      <c r="G66" s="36"/>
      <c r="H66" s="399"/>
      <c r="I66" s="78"/>
      <c r="J66" s="57"/>
      <c r="K66" s="78"/>
      <c r="L66" s="57"/>
      <c r="M66" s="78"/>
      <c r="N66" s="57"/>
      <c r="O66" s="78"/>
      <c r="P66" s="61"/>
      <c r="Q66" s="59"/>
      <c r="R66" s="41">
        <v>6</v>
      </c>
      <c r="S66" s="67" t="s">
        <v>62</v>
      </c>
    </row>
    <row r="67" spans="2:19" s="1" customFormat="1" ht="16.5" customHeight="1">
      <c r="B67" s="35"/>
      <c r="C67" s="48"/>
      <c r="D67" s="378">
        <f>RAB!D164</f>
        <v>3</v>
      </c>
      <c r="E67" s="8" t="str">
        <f>RAB!E164</f>
        <v>Floordrain</v>
      </c>
      <c r="F67" s="9"/>
      <c r="G67" s="36"/>
      <c r="H67" s="399"/>
      <c r="I67" s="78"/>
      <c r="J67" s="57"/>
      <c r="K67" s="78"/>
      <c r="L67" s="57"/>
      <c r="M67" s="78"/>
      <c r="N67" s="57"/>
      <c r="O67" s="78"/>
      <c r="P67" s="61"/>
      <c r="Q67" s="59"/>
      <c r="R67" s="41">
        <f>R66</f>
        <v>6</v>
      </c>
      <c r="S67" s="67" t="s">
        <v>62</v>
      </c>
    </row>
    <row r="68" spans="2:19" s="1" customFormat="1" ht="16.5" customHeight="1">
      <c r="B68" s="35"/>
      <c r="C68" s="48"/>
      <c r="D68" s="378"/>
      <c r="E68" s="8"/>
      <c r="F68" s="9"/>
      <c r="G68" s="36"/>
      <c r="H68" s="399"/>
      <c r="I68" s="78"/>
      <c r="J68" s="57"/>
      <c r="K68" s="78"/>
      <c r="L68" s="57"/>
      <c r="M68" s="78"/>
      <c r="N68" s="57"/>
      <c r="O68" s="78"/>
      <c r="P68" s="61"/>
      <c r="Q68" s="59"/>
      <c r="R68" s="41"/>
      <c r="S68" s="67"/>
    </row>
    <row r="69" spans="2:19" s="1" customFormat="1" ht="16.5" customHeight="1">
      <c r="B69" s="35"/>
      <c r="C69" s="48"/>
      <c r="D69" s="479" t="str">
        <f>RAB!D166</f>
        <v xml:space="preserve">PEKERJAAN PINTU </v>
      </c>
      <c r="E69" s="8"/>
      <c r="F69" s="9"/>
      <c r="G69" s="36"/>
      <c r="H69" s="399"/>
      <c r="I69" s="78"/>
      <c r="J69" s="57"/>
      <c r="K69" s="78"/>
      <c r="L69" s="57"/>
      <c r="M69" s="78"/>
      <c r="N69" s="57"/>
      <c r="O69" s="78"/>
      <c r="P69" s="61"/>
      <c r="Q69" s="59"/>
      <c r="R69" s="41"/>
      <c r="S69" s="67"/>
    </row>
    <row r="70" spans="2:19" s="1" customFormat="1" ht="16.5" customHeight="1">
      <c r="B70" s="35"/>
      <c r="C70" s="48"/>
      <c r="D70" s="378">
        <f>RAB!D167</f>
        <v>1</v>
      </c>
      <c r="E70" s="8" t="str">
        <f>RAB!E167</f>
        <v>Pas. Kunci Tanam</v>
      </c>
      <c r="F70" s="9"/>
      <c r="G70" s="36"/>
      <c r="H70" s="399"/>
      <c r="I70" s="78"/>
      <c r="J70" s="57"/>
      <c r="K70" s="78"/>
      <c r="L70" s="57"/>
      <c r="M70" s="78"/>
      <c r="N70" s="57"/>
      <c r="O70" s="78"/>
      <c r="P70" s="61"/>
      <c r="Q70" s="59"/>
      <c r="R70" s="41">
        <v>2</v>
      </c>
      <c r="S70" s="67" t="s">
        <v>62</v>
      </c>
    </row>
    <row r="71" spans="2:19" s="1" customFormat="1" ht="16.5" customHeight="1">
      <c r="B71" s="35"/>
      <c r="C71" s="48"/>
      <c r="D71" s="378">
        <f>RAB!D168</f>
        <v>2</v>
      </c>
      <c r="E71" s="8" t="str">
        <f>RAB!E168</f>
        <v>Pas. Pintu Toilet Aluminium</v>
      </c>
      <c r="F71" s="9"/>
      <c r="G71" s="36"/>
      <c r="H71" s="399"/>
      <c r="I71" s="78"/>
      <c r="J71" s="57"/>
      <c r="K71" s="78"/>
      <c r="L71" s="57"/>
      <c r="M71" s="78"/>
      <c r="N71" s="57"/>
      <c r="O71" s="78"/>
      <c r="P71" s="61"/>
      <c r="Q71" s="59"/>
      <c r="R71" s="41">
        <v>6</v>
      </c>
      <c r="S71" s="67" t="s">
        <v>62</v>
      </c>
    </row>
    <row r="72" spans="2:19" s="1" customFormat="1" ht="16.5" customHeight="1">
      <c r="B72" s="35"/>
      <c r="C72" s="48"/>
      <c r="D72" s="378"/>
      <c r="E72" s="8"/>
      <c r="F72" s="9"/>
      <c r="G72" s="36"/>
      <c r="H72" s="399"/>
      <c r="I72" s="78"/>
      <c r="J72" s="57"/>
      <c r="K72" s="78"/>
      <c r="L72" s="57"/>
      <c r="M72" s="78"/>
      <c r="N72" s="57"/>
      <c r="O72" s="78"/>
      <c r="P72" s="61"/>
      <c r="Q72" s="59"/>
      <c r="R72" s="41"/>
      <c r="S72" s="67"/>
    </row>
    <row r="73" spans="2:19" s="1" customFormat="1" ht="16.5" customHeight="1">
      <c r="B73" s="35"/>
      <c r="C73" s="48"/>
      <c r="D73" s="479" t="str">
        <f>RAB!D170</f>
        <v>PEKERJAAN PENGECATAN</v>
      </c>
      <c r="E73" s="8"/>
      <c r="F73" s="9"/>
      <c r="G73" s="36"/>
      <c r="H73" s="399"/>
      <c r="I73" s="78"/>
      <c r="J73" s="57"/>
      <c r="K73" s="78"/>
      <c r="L73" s="57"/>
      <c r="M73" s="78"/>
      <c r="N73" s="57"/>
      <c r="O73" s="78"/>
      <c r="P73" s="61"/>
      <c r="Q73" s="59"/>
      <c r="R73" s="41"/>
      <c r="S73" s="67"/>
    </row>
    <row r="74" spans="2:19" s="1" customFormat="1" ht="16.5" customHeight="1">
      <c r="B74" s="35"/>
      <c r="C74" s="48"/>
      <c r="D74" s="378">
        <f>RAB!D171</f>
        <v>1</v>
      </c>
      <c r="E74" s="8" t="str">
        <f>RAB!E171</f>
        <v>Pengecatan Cat Tembok Dinding Interior</v>
      </c>
      <c r="F74" s="9"/>
      <c r="G74" s="36"/>
      <c r="H74" s="399"/>
      <c r="I74" s="78"/>
      <c r="J74" s="57"/>
      <c r="K74" s="78"/>
      <c r="L74" s="57"/>
      <c r="M74" s="78"/>
      <c r="N74" s="57"/>
      <c r="O74" s="78"/>
      <c r="P74" s="61"/>
      <c r="Q74" s="59"/>
      <c r="R74" s="41">
        <f>P78</f>
        <v>58.4</v>
      </c>
      <c r="S74" s="67" t="s">
        <v>133</v>
      </c>
    </row>
    <row r="75" spans="2:19" s="1" customFormat="1" ht="16.5" customHeight="1">
      <c r="B75" s="35"/>
      <c r="C75" s="48"/>
      <c r="D75" s="378"/>
      <c r="E75" s="8"/>
      <c r="F75" s="9"/>
      <c r="G75" s="36"/>
      <c r="H75" s="392" t="s">
        <v>408</v>
      </c>
      <c r="I75" s="460"/>
      <c r="J75" s="461" t="s">
        <v>226</v>
      </c>
      <c r="K75" s="460"/>
      <c r="L75" s="461" t="s">
        <v>52</v>
      </c>
      <c r="M75" s="78"/>
      <c r="N75" s="57"/>
      <c r="O75" s="78"/>
      <c r="P75" s="61"/>
      <c r="Q75" s="59"/>
      <c r="R75" s="41"/>
      <c r="S75" s="67"/>
    </row>
    <row r="76" spans="2:19" s="1" customFormat="1" ht="16.5" customHeight="1">
      <c r="B76" s="35"/>
      <c r="C76" s="48"/>
      <c r="D76" s="378"/>
      <c r="E76" s="8"/>
      <c r="F76" s="9"/>
      <c r="G76" s="36" t="s">
        <v>423</v>
      </c>
      <c r="H76" s="392">
        <v>4.8</v>
      </c>
      <c r="I76" s="460" t="s">
        <v>49</v>
      </c>
      <c r="J76" s="461">
        <v>1</v>
      </c>
      <c r="K76" s="460" t="s">
        <v>49</v>
      </c>
      <c r="L76" s="461">
        <v>6</v>
      </c>
      <c r="M76" s="78"/>
      <c r="N76" s="57"/>
      <c r="O76" s="78" t="s">
        <v>50</v>
      </c>
      <c r="P76" s="58">
        <f>H76*J76*L76</f>
        <v>28.799999999999997</v>
      </c>
      <c r="Q76" s="59" t="s">
        <v>133</v>
      </c>
      <c r="R76" s="41"/>
      <c r="S76" s="67"/>
    </row>
    <row r="77" spans="2:19" s="1" customFormat="1" ht="16.5" customHeight="1">
      <c r="B77" s="35"/>
      <c r="C77" s="48"/>
      <c r="D77" s="378"/>
      <c r="E77" s="8"/>
      <c r="F77" s="9"/>
      <c r="G77" s="36"/>
      <c r="H77" s="392">
        <v>14.8</v>
      </c>
      <c r="I77" s="460" t="s">
        <v>49</v>
      </c>
      <c r="J77" s="461">
        <v>1</v>
      </c>
      <c r="K77" s="460" t="s">
        <v>49</v>
      </c>
      <c r="L77" s="461">
        <v>2</v>
      </c>
      <c r="M77" s="78"/>
      <c r="N77" s="57"/>
      <c r="O77" s="78" t="s">
        <v>50</v>
      </c>
      <c r="P77" s="58">
        <f>H77*J77*L77</f>
        <v>29.6</v>
      </c>
      <c r="Q77" s="59" t="s">
        <v>133</v>
      </c>
      <c r="R77" s="41"/>
      <c r="S77" s="67"/>
    </row>
    <row r="78" spans="2:19" s="1" customFormat="1" ht="16.5" customHeight="1">
      <c r="B78" s="35"/>
      <c r="C78" s="48"/>
      <c r="D78" s="378"/>
      <c r="E78" s="8"/>
      <c r="F78" s="9"/>
      <c r="G78" s="36"/>
      <c r="H78" s="392"/>
      <c r="I78" s="460"/>
      <c r="J78" s="461"/>
      <c r="K78" s="460"/>
      <c r="L78" s="461"/>
      <c r="M78" s="78"/>
      <c r="N78" s="57"/>
      <c r="O78" s="78" t="s">
        <v>50</v>
      </c>
      <c r="P78" s="61">
        <f>SUM(P76:P77)</f>
        <v>58.4</v>
      </c>
      <c r="Q78" s="413" t="s">
        <v>133</v>
      </c>
      <c r="R78" s="41"/>
      <c r="S78" s="67"/>
    </row>
    <row r="79" spans="2:19" s="1" customFormat="1" ht="16.5" customHeight="1">
      <c r="B79" s="35"/>
      <c r="C79" s="48"/>
      <c r="D79" s="378"/>
      <c r="E79" s="8"/>
      <c r="F79" s="9"/>
      <c r="G79" s="36"/>
      <c r="H79" s="399"/>
      <c r="I79" s="78"/>
      <c r="J79" s="57"/>
      <c r="K79" s="78"/>
      <c r="L79" s="57"/>
      <c r="M79" s="78"/>
      <c r="N79" s="57"/>
      <c r="O79" s="78"/>
      <c r="P79" s="61"/>
      <c r="Q79" s="59"/>
      <c r="R79" s="41"/>
      <c r="S79" s="67"/>
    </row>
    <row r="80" spans="2:19" s="1" customFormat="1" ht="16.5" customHeight="1">
      <c r="B80" s="381"/>
      <c r="C80" s="465" t="str">
        <f>RAB!C174</f>
        <v>E.3</v>
      </c>
      <c r="D80" s="382" t="str">
        <f>RAB!D174</f>
        <v>PEKERJAAN KAMAR MANDI - C</v>
      </c>
      <c r="E80" s="383"/>
      <c r="F80" s="383"/>
      <c r="G80" s="384"/>
      <c r="H80" s="400"/>
      <c r="I80" s="385"/>
      <c r="J80" s="389"/>
      <c r="K80" s="385"/>
      <c r="L80" s="389"/>
      <c r="M80" s="385"/>
      <c r="N80" s="389"/>
      <c r="O80" s="385"/>
      <c r="P80" s="466"/>
      <c r="Q80" s="467"/>
      <c r="R80" s="386"/>
      <c r="S80" s="387"/>
    </row>
    <row r="81" spans="2:19" s="1" customFormat="1" ht="16.5" customHeight="1">
      <c r="B81" s="35"/>
      <c r="C81" s="48"/>
      <c r="D81" s="378">
        <f>RAB!D176</f>
        <v>1</v>
      </c>
      <c r="E81" s="8" t="str">
        <f>RAB!E176</f>
        <v>Pekerjaan Bongkaran</v>
      </c>
      <c r="F81" s="9"/>
      <c r="G81" s="36"/>
      <c r="H81" s="399"/>
      <c r="I81" s="78"/>
      <c r="J81" s="57"/>
      <c r="K81" s="78"/>
      <c r="L81" s="57"/>
      <c r="M81" s="78"/>
      <c r="N81" s="57"/>
      <c r="O81" s="78"/>
      <c r="P81" s="61"/>
      <c r="Q81" s="59"/>
      <c r="R81" s="41">
        <v>1</v>
      </c>
      <c r="S81" s="67" t="s">
        <v>20</v>
      </c>
    </row>
    <row r="82" spans="2:19" s="1" customFormat="1" ht="16.5" customHeight="1">
      <c r="B82" s="35"/>
      <c r="C82" s="48"/>
      <c r="D82" s="378">
        <f>RAB!D177</f>
        <v>2</v>
      </c>
      <c r="E82" s="8" t="str">
        <f>RAB!E177</f>
        <v>Pekerjaan Pembersihan</v>
      </c>
      <c r="F82" s="9"/>
      <c r="G82" s="36"/>
      <c r="H82" s="399"/>
      <c r="I82" s="78"/>
      <c r="J82" s="57"/>
      <c r="K82" s="78"/>
      <c r="L82" s="57"/>
      <c r="M82" s="78"/>
      <c r="N82" s="57"/>
      <c r="O82" s="78"/>
      <c r="P82" s="61"/>
      <c r="Q82" s="59"/>
      <c r="R82" s="41">
        <v>1</v>
      </c>
      <c r="S82" s="67" t="s">
        <v>20</v>
      </c>
    </row>
    <row r="83" spans="2:19" s="1" customFormat="1" ht="16.5" customHeight="1">
      <c r="B83" s="35"/>
      <c r="C83" s="48"/>
      <c r="D83" s="378"/>
      <c r="E83" s="8"/>
      <c r="F83" s="9"/>
      <c r="G83" s="36"/>
      <c r="H83" s="399"/>
      <c r="I83" s="78"/>
      <c r="J83" s="57"/>
      <c r="K83" s="78"/>
      <c r="L83" s="57"/>
      <c r="M83" s="78"/>
      <c r="N83" s="57"/>
      <c r="O83" s="78"/>
      <c r="P83" s="61"/>
      <c r="Q83" s="59"/>
      <c r="R83" s="41"/>
      <c r="S83" s="67"/>
    </row>
    <row r="84" spans="2:19" s="1" customFormat="1" ht="16.5" customHeight="1">
      <c r="B84" s="35"/>
      <c r="C84" s="48"/>
      <c r="D84" s="479" t="str">
        <f>RAB!D179</f>
        <v>PEKERJAAN LANTAI</v>
      </c>
      <c r="E84" s="8"/>
      <c r="F84" s="9"/>
      <c r="G84" s="36"/>
      <c r="H84" s="399"/>
      <c r="I84" s="78"/>
      <c r="J84" s="57"/>
      <c r="K84" s="78"/>
      <c r="L84" s="57"/>
      <c r="M84" s="78"/>
      <c r="N84" s="57"/>
      <c r="O84" s="78"/>
      <c r="P84" s="61"/>
      <c r="Q84" s="59"/>
      <c r="R84" s="41"/>
      <c r="S84" s="67"/>
    </row>
    <row r="85" spans="2:19" s="1" customFormat="1" ht="16.5" customHeight="1">
      <c r="B85" s="35"/>
      <c r="C85" s="48"/>
      <c r="D85" s="378">
        <f>RAB!D180</f>
        <v>1</v>
      </c>
      <c r="E85" s="8" t="str">
        <f>RAB!E180</f>
        <v xml:space="preserve">Sisip Lantai Keramik </v>
      </c>
      <c r="F85" s="9"/>
      <c r="G85" s="36"/>
      <c r="H85" s="399"/>
      <c r="I85" s="78"/>
      <c r="J85" s="57"/>
      <c r="K85" s="78"/>
      <c r="L85" s="57"/>
      <c r="M85" s="78"/>
      <c r="N85" s="57"/>
      <c r="O85" s="78"/>
      <c r="P85" s="61"/>
      <c r="Q85" s="59"/>
      <c r="R85" s="41">
        <f>P87</f>
        <v>9</v>
      </c>
      <c r="S85" s="67" t="s">
        <v>133</v>
      </c>
    </row>
    <row r="86" spans="2:19" s="1" customFormat="1" ht="16.5" customHeight="1">
      <c r="B86" s="35"/>
      <c r="C86" s="48"/>
      <c r="D86" s="378"/>
      <c r="E86" s="8"/>
      <c r="F86" s="9"/>
      <c r="G86" s="36"/>
      <c r="H86" s="392" t="s">
        <v>408</v>
      </c>
      <c r="I86" s="460"/>
      <c r="J86" s="461" t="s">
        <v>226</v>
      </c>
      <c r="K86" s="78"/>
      <c r="L86" s="57"/>
      <c r="M86" s="78"/>
      <c r="N86" s="57"/>
      <c r="O86" s="79"/>
      <c r="P86" s="61"/>
      <c r="Q86" s="59"/>
      <c r="R86" s="41"/>
      <c r="S86" s="67"/>
    </row>
    <row r="87" spans="2:19" s="1" customFormat="1" ht="16.5" customHeight="1">
      <c r="B87" s="35"/>
      <c r="C87" s="48"/>
      <c r="D87" s="378"/>
      <c r="E87" s="8"/>
      <c r="F87" s="9"/>
      <c r="G87" s="36"/>
      <c r="H87" s="392">
        <v>3</v>
      </c>
      <c r="I87" s="460" t="s">
        <v>49</v>
      </c>
      <c r="J87" s="461">
        <v>3</v>
      </c>
      <c r="K87" s="78"/>
      <c r="L87" s="57"/>
      <c r="M87" s="78"/>
      <c r="N87" s="57"/>
      <c r="O87" s="78" t="s">
        <v>50</v>
      </c>
      <c r="P87" s="61">
        <f>H87*J87</f>
        <v>9</v>
      </c>
      <c r="Q87" s="413" t="s">
        <v>133</v>
      </c>
      <c r="R87" s="41"/>
      <c r="S87" s="67"/>
    </row>
    <row r="88" spans="2:19" s="1" customFormat="1" ht="16.5" customHeight="1">
      <c r="B88" s="35"/>
      <c r="C88" s="48"/>
      <c r="D88" s="378"/>
      <c r="E88" s="8"/>
      <c r="F88" s="9"/>
      <c r="G88" s="36"/>
      <c r="H88" s="399"/>
      <c r="I88" s="78"/>
      <c r="J88" s="57"/>
      <c r="K88" s="78"/>
      <c r="L88" s="57"/>
      <c r="M88" s="78"/>
      <c r="N88" s="57"/>
      <c r="O88" s="78"/>
      <c r="P88" s="61"/>
      <c r="Q88" s="59"/>
      <c r="R88" s="41"/>
      <c r="S88" s="67"/>
    </row>
    <row r="89" spans="2:19" s="1" customFormat="1" ht="16.5" customHeight="1">
      <c r="B89" s="35"/>
      <c r="C89" s="48"/>
      <c r="D89" s="378">
        <f>RAB!D181</f>
        <v>2</v>
      </c>
      <c r="E89" s="8" t="str">
        <f>RAB!E181</f>
        <v xml:space="preserve">Sisip Keramik Dinding </v>
      </c>
      <c r="F89" s="9"/>
      <c r="G89" s="36"/>
      <c r="H89" s="399"/>
      <c r="I89" s="78"/>
      <c r="J89" s="57"/>
      <c r="K89" s="78"/>
      <c r="L89" s="57"/>
      <c r="M89" s="78"/>
      <c r="N89" s="57"/>
      <c r="O89" s="78"/>
      <c r="P89" s="61"/>
      <c r="Q89" s="59"/>
      <c r="R89" s="41">
        <f>P91</f>
        <v>9</v>
      </c>
      <c r="S89" s="67" t="s">
        <v>133</v>
      </c>
    </row>
    <row r="90" spans="2:19" s="1" customFormat="1" ht="16.5" customHeight="1">
      <c r="B90" s="35"/>
      <c r="C90" s="48"/>
      <c r="D90" s="378"/>
      <c r="E90" s="8"/>
      <c r="F90" s="9"/>
      <c r="G90" s="36"/>
      <c r="H90" s="392" t="s">
        <v>408</v>
      </c>
      <c r="I90" s="460"/>
      <c r="J90" s="461" t="s">
        <v>226</v>
      </c>
      <c r="K90" s="78"/>
      <c r="L90" s="57"/>
      <c r="M90" s="78"/>
      <c r="N90" s="57"/>
      <c r="O90" s="79"/>
      <c r="P90" s="61"/>
      <c r="Q90" s="59"/>
      <c r="R90" s="41"/>
      <c r="S90" s="67"/>
    </row>
    <row r="91" spans="2:19" s="1" customFormat="1" ht="16.5" customHeight="1">
      <c r="B91" s="35"/>
      <c r="C91" s="48"/>
      <c r="D91" s="378"/>
      <c r="E91" s="8"/>
      <c r="F91" s="9"/>
      <c r="G91" s="36"/>
      <c r="H91" s="392">
        <v>3</v>
      </c>
      <c r="I91" s="460" t="s">
        <v>49</v>
      </c>
      <c r="J91" s="461">
        <v>3</v>
      </c>
      <c r="K91" s="78"/>
      <c r="L91" s="57"/>
      <c r="M91" s="78"/>
      <c r="N91" s="57"/>
      <c r="O91" s="78" t="s">
        <v>50</v>
      </c>
      <c r="P91" s="61">
        <f>H91*J91</f>
        <v>9</v>
      </c>
      <c r="Q91" s="413" t="s">
        <v>133</v>
      </c>
      <c r="R91" s="41"/>
      <c r="S91" s="67"/>
    </row>
    <row r="92" spans="2:19" s="1" customFormat="1" ht="16.5" customHeight="1">
      <c r="B92" s="35"/>
      <c r="C92" s="48"/>
      <c r="D92" s="378"/>
      <c r="E92" s="8"/>
      <c r="F92" s="9"/>
      <c r="G92" s="36"/>
      <c r="H92" s="399"/>
      <c r="I92" s="78"/>
      <c r="J92" s="57"/>
      <c r="K92" s="78"/>
      <c r="L92" s="57"/>
      <c r="M92" s="78"/>
      <c r="N92" s="57"/>
      <c r="O92" s="78"/>
      <c r="P92" s="61"/>
      <c r="Q92" s="59"/>
      <c r="R92" s="41"/>
      <c r="S92" s="67"/>
    </row>
    <row r="93" spans="2:19" s="1" customFormat="1" ht="16.5" customHeight="1">
      <c r="B93" s="35"/>
      <c r="C93" s="48"/>
      <c r="D93" s="479" t="str">
        <f>RAB!D183</f>
        <v>PEKERJAAN PLAFOND</v>
      </c>
      <c r="E93" s="8"/>
      <c r="F93" s="9"/>
      <c r="G93" s="36"/>
      <c r="H93" s="399"/>
      <c r="I93" s="78"/>
      <c r="J93" s="57"/>
      <c r="K93" s="78"/>
      <c r="L93" s="57"/>
      <c r="M93" s="78"/>
      <c r="N93" s="57"/>
      <c r="O93" s="78"/>
      <c r="P93" s="61"/>
      <c r="Q93" s="59"/>
      <c r="R93" s="41"/>
      <c r="S93" s="67"/>
    </row>
    <row r="94" spans="2:19" s="1" customFormat="1" ht="16.5" customHeight="1">
      <c r="B94" s="35"/>
      <c r="C94" s="48"/>
      <c r="D94" s="378">
        <f>RAB!D184</f>
        <v>1</v>
      </c>
      <c r="E94" s="8" t="str">
        <f>RAB!E184</f>
        <v>Rangka Plafond Metal Furing</v>
      </c>
      <c r="F94" s="9"/>
      <c r="G94" s="36"/>
      <c r="H94" s="399"/>
      <c r="I94" s="78"/>
      <c r="J94" s="57"/>
      <c r="K94" s="78"/>
      <c r="L94" s="57"/>
      <c r="M94" s="78"/>
      <c r="N94" s="57"/>
      <c r="O94" s="78"/>
      <c r="P94" s="61"/>
      <c r="Q94" s="59"/>
      <c r="R94" s="41">
        <f>P96</f>
        <v>36.180000000000007</v>
      </c>
      <c r="S94" s="67" t="s">
        <v>133</v>
      </c>
    </row>
    <row r="95" spans="2:19" s="1" customFormat="1" ht="16.5" customHeight="1">
      <c r="B95" s="35"/>
      <c r="C95" s="48"/>
      <c r="D95" s="378"/>
      <c r="E95" s="8"/>
      <c r="F95" s="9"/>
      <c r="G95" s="36"/>
      <c r="H95" s="392" t="s">
        <v>408</v>
      </c>
      <c r="I95" s="460"/>
      <c r="J95" s="461" t="s">
        <v>226</v>
      </c>
      <c r="K95" s="78"/>
      <c r="L95" s="57"/>
      <c r="M95" s="78"/>
      <c r="N95" s="57"/>
      <c r="O95" s="79"/>
      <c r="P95" s="61"/>
      <c r="Q95" s="59"/>
      <c r="R95" s="41"/>
      <c r="S95" s="67"/>
    </row>
    <row r="96" spans="2:19" s="1" customFormat="1" ht="16.5" customHeight="1">
      <c r="B96" s="35"/>
      <c r="C96" s="48"/>
      <c r="D96" s="378"/>
      <c r="E96" s="8"/>
      <c r="F96" s="9"/>
      <c r="G96" s="36"/>
      <c r="H96" s="392">
        <v>5.4</v>
      </c>
      <c r="I96" s="460" t="s">
        <v>49</v>
      </c>
      <c r="J96" s="461">
        <v>6.7</v>
      </c>
      <c r="K96" s="78"/>
      <c r="L96" s="57"/>
      <c r="M96" s="78"/>
      <c r="N96" s="57"/>
      <c r="O96" s="78" t="s">
        <v>50</v>
      </c>
      <c r="P96" s="61">
        <f>H96*J96</f>
        <v>36.180000000000007</v>
      </c>
      <c r="Q96" s="413" t="s">
        <v>133</v>
      </c>
      <c r="R96" s="41"/>
      <c r="S96" s="67"/>
    </row>
    <row r="97" spans="2:19" s="1" customFormat="1" ht="16.5" customHeight="1">
      <c r="B97" s="35"/>
      <c r="C97" s="48"/>
      <c r="D97" s="378"/>
      <c r="E97" s="8"/>
      <c r="F97" s="9"/>
      <c r="G97" s="36"/>
      <c r="H97" s="399"/>
      <c r="I97" s="78"/>
      <c r="J97" s="57"/>
      <c r="K97" s="78"/>
      <c r="L97" s="57"/>
      <c r="M97" s="78"/>
      <c r="N97" s="57"/>
      <c r="O97" s="78"/>
      <c r="P97" s="61"/>
      <c r="Q97" s="59"/>
      <c r="R97" s="41"/>
      <c r="S97" s="67"/>
    </row>
    <row r="98" spans="2:19" s="1" customFormat="1" ht="16.5" customHeight="1">
      <c r="B98" s="35"/>
      <c r="C98" s="48"/>
      <c r="D98" s="378">
        <f>RAB!D185</f>
        <v>2</v>
      </c>
      <c r="E98" s="8" t="str">
        <f>RAB!E185</f>
        <v>Plafond Gypsum 9mm</v>
      </c>
      <c r="F98" s="9"/>
      <c r="G98" s="36"/>
      <c r="H98" s="399"/>
      <c r="I98" s="78"/>
      <c r="J98" s="57"/>
      <c r="K98" s="78"/>
      <c r="L98" s="57"/>
      <c r="M98" s="78"/>
      <c r="N98" s="57"/>
      <c r="O98" s="78"/>
      <c r="P98" s="61"/>
      <c r="Q98" s="59"/>
      <c r="R98" s="41">
        <f>R94</f>
        <v>36.180000000000007</v>
      </c>
      <c r="S98" s="67" t="s">
        <v>133</v>
      </c>
    </row>
    <row r="99" spans="2:19" s="1" customFormat="1" ht="16.5" customHeight="1">
      <c r="B99" s="35"/>
      <c r="C99" s="48"/>
      <c r="D99" s="378">
        <f>RAB!D186</f>
        <v>3</v>
      </c>
      <c r="E99" s="8" t="str">
        <f>RAB!E186</f>
        <v>List Profil Gypsum</v>
      </c>
      <c r="F99" s="9"/>
      <c r="G99" s="36"/>
      <c r="H99" s="399"/>
      <c r="I99" s="78"/>
      <c r="J99" s="57"/>
      <c r="K99" s="78"/>
      <c r="L99" s="57"/>
      <c r="M99" s="78"/>
      <c r="N99" s="57"/>
      <c r="O99" s="78"/>
      <c r="P99" s="61"/>
      <c r="Q99" s="59"/>
      <c r="R99" s="41">
        <f>P103</f>
        <v>45.7</v>
      </c>
      <c r="S99" s="67" t="s">
        <v>21</v>
      </c>
    </row>
    <row r="100" spans="2:19" s="1" customFormat="1" ht="16.5" customHeight="1">
      <c r="B100" s="35"/>
      <c r="C100" s="48"/>
      <c r="D100" s="378"/>
      <c r="E100" s="8"/>
      <c r="F100" s="9"/>
      <c r="G100" s="36"/>
      <c r="H100" s="392" t="s">
        <v>408</v>
      </c>
      <c r="I100" s="460"/>
      <c r="J100" s="461"/>
      <c r="K100" s="460"/>
      <c r="L100" s="461" t="s">
        <v>52</v>
      </c>
      <c r="M100" s="78"/>
      <c r="N100" s="57"/>
      <c r="O100" s="78"/>
      <c r="P100" s="61"/>
      <c r="Q100" s="59"/>
      <c r="R100" s="41"/>
      <c r="S100" s="67"/>
    </row>
    <row r="101" spans="2:19" s="1" customFormat="1" ht="16.5" customHeight="1">
      <c r="B101" s="35"/>
      <c r="C101" s="48"/>
      <c r="D101" s="378"/>
      <c r="E101" s="8"/>
      <c r="F101" s="9"/>
      <c r="G101" s="36" t="s">
        <v>423</v>
      </c>
      <c r="H101" s="392">
        <v>4.4000000000000004</v>
      </c>
      <c r="I101" s="460" t="s">
        <v>49</v>
      </c>
      <c r="J101" s="461"/>
      <c r="K101" s="460" t="s">
        <v>49</v>
      </c>
      <c r="L101" s="461">
        <v>5</v>
      </c>
      <c r="M101" s="78"/>
      <c r="N101" s="57"/>
      <c r="O101" s="78" t="s">
        <v>50</v>
      </c>
      <c r="P101" s="58">
        <f>H101*L101</f>
        <v>22</v>
      </c>
      <c r="Q101" s="59" t="s">
        <v>21</v>
      </c>
      <c r="R101" s="41"/>
      <c r="S101" s="67"/>
    </row>
    <row r="102" spans="2:19" s="1" customFormat="1" ht="16.5" customHeight="1">
      <c r="B102" s="35"/>
      <c r="C102" s="48"/>
      <c r="D102" s="378"/>
      <c r="E102" s="8"/>
      <c r="F102" s="9"/>
      <c r="G102" s="36"/>
      <c r="H102" s="392">
        <v>23.7</v>
      </c>
      <c r="I102" s="460" t="s">
        <v>49</v>
      </c>
      <c r="J102" s="461"/>
      <c r="K102" s="460" t="s">
        <v>49</v>
      </c>
      <c r="L102" s="461">
        <v>1</v>
      </c>
      <c r="M102" s="78"/>
      <c r="N102" s="57"/>
      <c r="O102" s="78" t="s">
        <v>50</v>
      </c>
      <c r="P102" s="58">
        <f>H102*L102</f>
        <v>23.7</v>
      </c>
      <c r="Q102" s="59" t="s">
        <v>21</v>
      </c>
      <c r="R102" s="41"/>
      <c r="S102" s="67"/>
    </row>
    <row r="103" spans="2:19" s="1" customFormat="1" ht="16.5" customHeight="1">
      <c r="B103" s="35"/>
      <c r="C103" s="48"/>
      <c r="D103" s="378"/>
      <c r="E103" s="8"/>
      <c r="F103" s="9"/>
      <c r="G103" s="36"/>
      <c r="H103" s="392"/>
      <c r="I103" s="460"/>
      <c r="J103" s="461"/>
      <c r="K103" s="460"/>
      <c r="L103" s="461"/>
      <c r="M103" s="78"/>
      <c r="N103" s="57"/>
      <c r="O103" s="78" t="s">
        <v>50</v>
      </c>
      <c r="P103" s="61">
        <f>SUM(P101:P102)</f>
        <v>45.7</v>
      </c>
      <c r="Q103" s="413" t="s">
        <v>21</v>
      </c>
      <c r="R103" s="41"/>
      <c r="S103" s="67"/>
    </row>
    <row r="104" spans="2:19" s="1" customFormat="1" ht="16.5" customHeight="1">
      <c r="B104" s="35"/>
      <c r="C104" s="48"/>
      <c r="D104" s="378"/>
      <c r="E104" s="8"/>
      <c r="F104" s="9"/>
      <c r="G104" s="36"/>
      <c r="H104" s="399"/>
      <c r="I104" s="78"/>
      <c r="J104" s="57"/>
      <c r="K104" s="78"/>
      <c r="L104" s="57"/>
      <c r="M104" s="78"/>
      <c r="N104" s="57"/>
      <c r="O104" s="78"/>
      <c r="P104" s="61"/>
      <c r="Q104" s="59"/>
      <c r="R104" s="41"/>
      <c r="S104" s="67"/>
    </row>
    <row r="105" spans="2:19" s="1" customFormat="1" ht="16.5" customHeight="1">
      <c r="B105" s="35"/>
      <c r="C105" s="48"/>
      <c r="D105" s="378"/>
      <c r="E105" s="8"/>
      <c r="F105" s="9"/>
      <c r="G105" s="36"/>
      <c r="H105" s="399"/>
      <c r="I105" s="78"/>
      <c r="J105" s="57"/>
      <c r="K105" s="78"/>
      <c r="L105" s="57"/>
      <c r="M105" s="78"/>
      <c r="N105" s="57"/>
      <c r="O105" s="78"/>
      <c r="P105" s="61"/>
      <c r="Q105" s="59"/>
      <c r="R105" s="41"/>
      <c r="S105" s="67"/>
    </row>
    <row r="106" spans="2:19" s="1" customFormat="1" ht="16.5" customHeight="1">
      <c r="B106" s="35"/>
      <c r="C106" s="48"/>
      <c r="D106" s="479" t="str">
        <f>RAB!D188</f>
        <v>PEKERJAAN INSTALASI LISTRIK</v>
      </c>
      <c r="E106" s="8"/>
      <c r="F106" s="9"/>
      <c r="G106" s="36"/>
      <c r="H106" s="399"/>
      <c r="I106" s="78"/>
      <c r="J106" s="57"/>
      <c r="K106" s="78"/>
      <c r="L106" s="57"/>
      <c r="M106" s="78"/>
      <c r="N106" s="57"/>
      <c r="O106" s="78"/>
      <c r="P106" s="61"/>
      <c r="Q106" s="59"/>
      <c r="R106" s="41"/>
      <c r="S106" s="67"/>
    </row>
    <row r="107" spans="2:19" s="1" customFormat="1" ht="16.5" customHeight="1">
      <c r="B107" s="35"/>
      <c r="C107" s="48"/>
      <c r="D107" s="378">
        <f>RAB!D190</f>
        <v>1</v>
      </c>
      <c r="E107" s="8" t="str">
        <f>RAB!E190</f>
        <v>Lampu LED 7 watt + Fitting Downlight</v>
      </c>
      <c r="F107" s="9"/>
      <c r="G107" s="36"/>
      <c r="H107" s="399"/>
      <c r="I107" s="78"/>
      <c r="J107" s="57"/>
      <c r="K107" s="78"/>
      <c r="L107" s="57"/>
      <c r="M107" s="78"/>
      <c r="N107" s="57"/>
      <c r="O107" s="78"/>
      <c r="P107" s="61"/>
      <c r="Q107" s="59"/>
      <c r="R107" s="41">
        <v>8</v>
      </c>
      <c r="S107" s="67" t="s">
        <v>62</v>
      </c>
    </row>
    <row r="108" spans="2:19" s="1" customFormat="1" ht="16.5" customHeight="1">
      <c r="B108" s="35"/>
      <c r="C108" s="48"/>
      <c r="D108" s="378"/>
      <c r="E108" s="8"/>
      <c r="F108" s="9"/>
      <c r="G108" s="36"/>
      <c r="H108" s="399"/>
      <c r="I108" s="78"/>
      <c r="J108" s="57"/>
      <c r="K108" s="78"/>
      <c r="L108" s="57"/>
      <c r="M108" s="78"/>
      <c r="N108" s="57"/>
      <c r="O108" s="78"/>
      <c r="P108" s="61"/>
      <c r="Q108" s="59"/>
      <c r="R108" s="41"/>
      <c r="S108" s="67"/>
    </row>
    <row r="109" spans="2:19" s="1" customFormat="1" ht="16.5" customHeight="1">
      <c r="B109" s="35"/>
      <c r="C109" s="48"/>
      <c r="D109" s="479" t="str">
        <f>RAB!D192</f>
        <v>PEKERJAAN SANITAIR &amp; PLUMBING</v>
      </c>
      <c r="E109" s="8"/>
      <c r="F109" s="9"/>
      <c r="G109" s="36"/>
      <c r="H109" s="399"/>
      <c r="I109" s="78"/>
      <c r="J109" s="57"/>
      <c r="K109" s="78"/>
      <c r="L109" s="57"/>
      <c r="M109" s="78"/>
      <c r="N109" s="57"/>
      <c r="O109" s="78"/>
      <c r="P109" s="61"/>
      <c r="Q109" s="59"/>
      <c r="R109" s="41"/>
      <c r="S109" s="67"/>
    </row>
    <row r="110" spans="2:19" s="1" customFormat="1" ht="16.5" customHeight="1">
      <c r="B110" s="35"/>
      <c r="C110" s="48"/>
      <c r="D110" s="378">
        <f>RAB!D193</f>
        <v>1</v>
      </c>
      <c r="E110" s="8" t="str">
        <f>RAB!E193</f>
        <v>Pipa Air Bersih PVC Dia. 15 mm (1/2")</v>
      </c>
      <c r="F110" s="9"/>
      <c r="G110" s="36"/>
      <c r="H110" s="399"/>
      <c r="I110" s="78"/>
      <c r="J110" s="57"/>
      <c r="K110" s="78"/>
      <c r="L110" s="57"/>
      <c r="M110" s="78"/>
      <c r="N110" s="57"/>
      <c r="O110" s="78"/>
      <c r="P110" s="61"/>
      <c r="Q110" s="59"/>
      <c r="R110" s="41">
        <v>25</v>
      </c>
      <c r="S110" s="67" t="s">
        <v>21</v>
      </c>
    </row>
    <row r="111" spans="2:19" s="1" customFormat="1" ht="16.5" customHeight="1">
      <c r="B111" s="35"/>
      <c r="C111" s="48"/>
      <c r="D111" s="378">
        <f>RAB!D194</f>
        <v>2</v>
      </c>
      <c r="E111" s="8" t="str">
        <f>RAB!E194</f>
        <v>Kran Air Stainless 1/2"</v>
      </c>
      <c r="F111" s="9"/>
      <c r="G111" s="36"/>
      <c r="H111" s="399"/>
      <c r="I111" s="78"/>
      <c r="J111" s="57"/>
      <c r="K111" s="78"/>
      <c r="L111" s="57"/>
      <c r="M111" s="78"/>
      <c r="N111" s="57"/>
      <c r="O111" s="78"/>
      <c r="P111" s="61"/>
      <c r="Q111" s="59"/>
      <c r="R111" s="41">
        <v>5</v>
      </c>
      <c r="S111" s="67" t="s">
        <v>62</v>
      </c>
    </row>
    <row r="112" spans="2:19" s="1" customFormat="1" ht="16.5" customHeight="1">
      <c r="B112" s="35"/>
      <c r="C112" s="48"/>
      <c r="D112" s="378">
        <f>RAB!D195</f>
        <v>3</v>
      </c>
      <c r="E112" s="8" t="str">
        <f>RAB!E195</f>
        <v>Floordrain</v>
      </c>
      <c r="F112" s="9"/>
      <c r="G112" s="36"/>
      <c r="H112" s="399"/>
      <c r="I112" s="78"/>
      <c r="J112" s="57"/>
      <c r="K112" s="78"/>
      <c r="L112" s="57"/>
      <c r="M112" s="78"/>
      <c r="N112" s="57"/>
      <c r="O112" s="78"/>
      <c r="P112" s="61"/>
      <c r="Q112" s="59"/>
      <c r="R112" s="41">
        <f>R111</f>
        <v>5</v>
      </c>
      <c r="S112" s="67" t="s">
        <v>62</v>
      </c>
    </row>
    <row r="113" spans="2:19" s="1" customFormat="1" ht="16.5" customHeight="1">
      <c r="B113" s="35"/>
      <c r="C113" s="48"/>
      <c r="D113" s="378"/>
      <c r="E113" s="8"/>
      <c r="F113" s="9"/>
      <c r="G113" s="36"/>
      <c r="H113" s="399"/>
      <c r="I113" s="78"/>
      <c r="J113" s="57"/>
      <c r="K113" s="78"/>
      <c r="L113" s="57"/>
      <c r="M113" s="78"/>
      <c r="N113" s="57"/>
      <c r="O113" s="78"/>
      <c r="P113" s="61"/>
      <c r="Q113" s="59"/>
      <c r="R113" s="41"/>
      <c r="S113" s="67"/>
    </row>
    <row r="114" spans="2:19" s="1" customFormat="1" ht="16.5" customHeight="1">
      <c r="B114" s="35"/>
      <c r="C114" s="48"/>
      <c r="D114" s="479" t="str">
        <f>RAB!D197</f>
        <v xml:space="preserve">PEKERJAAN PINTU </v>
      </c>
      <c r="E114" s="8"/>
      <c r="F114" s="9"/>
      <c r="G114" s="36"/>
      <c r="H114" s="399"/>
      <c r="I114" s="78"/>
      <c r="J114" s="57"/>
      <c r="K114" s="78"/>
      <c r="L114" s="57"/>
      <c r="M114" s="78"/>
      <c r="N114" s="57"/>
      <c r="O114" s="78"/>
      <c r="P114" s="61"/>
      <c r="Q114" s="59"/>
      <c r="R114" s="41"/>
      <c r="S114" s="67"/>
    </row>
    <row r="115" spans="2:19" s="1" customFormat="1" ht="16.5" customHeight="1">
      <c r="B115" s="35"/>
      <c r="C115" s="48"/>
      <c r="D115" s="378">
        <f>RAB!D198</f>
        <v>1</v>
      </c>
      <c r="E115" s="8" t="str">
        <f>RAB!E198</f>
        <v>Pas. Kunci Tanam</v>
      </c>
      <c r="F115" s="9"/>
      <c r="G115" s="36"/>
      <c r="H115" s="399"/>
      <c r="I115" s="78"/>
      <c r="J115" s="57"/>
      <c r="K115" s="78"/>
      <c r="L115" s="57"/>
      <c r="M115" s="78"/>
      <c r="N115" s="57"/>
      <c r="O115" s="78"/>
      <c r="P115" s="61"/>
      <c r="Q115" s="59"/>
      <c r="R115" s="41">
        <v>1</v>
      </c>
      <c r="S115" s="67" t="s">
        <v>62</v>
      </c>
    </row>
    <row r="116" spans="2:19" s="1" customFormat="1" ht="16.5" customHeight="1">
      <c r="B116" s="35"/>
      <c r="C116" s="48"/>
      <c r="D116" s="378">
        <f>RAB!D199</f>
        <v>2</v>
      </c>
      <c r="E116" s="8" t="str">
        <f>RAB!E199</f>
        <v>Pas. Pintu Toilet Aluminium</v>
      </c>
      <c r="F116" s="9"/>
      <c r="G116" s="36"/>
      <c r="H116" s="399"/>
      <c r="I116" s="78"/>
      <c r="J116" s="57"/>
      <c r="K116" s="78"/>
      <c r="L116" s="57"/>
      <c r="M116" s="78"/>
      <c r="N116" s="57"/>
      <c r="O116" s="78"/>
      <c r="P116" s="61"/>
      <c r="Q116" s="59"/>
      <c r="R116" s="41">
        <v>5</v>
      </c>
      <c r="S116" s="67" t="s">
        <v>62</v>
      </c>
    </row>
    <row r="117" spans="2:19" s="1" customFormat="1" ht="16.5" customHeight="1">
      <c r="B117" s="35"/>
      <c r="C117" s="48"/>
      <c r="D117" s="378"/>
      <c r="E117" s="8"/>
      <c r="F117" s="9"/>
      <c r="G117" s="36"/>
      <c r="H117" s="399"/>
      <c r="I117" s="78"/>
      <c r="J117" s="57"/>
      <c r="K117" s="78"/>
      <c r="L117" s="57"/>
      <c r="M117" s="78"/>
      <c r="N117" s="57"/>
      <c r="O117" s="78"/>
      <c r="P117" s="61"/>
      <c r="Q117" s="59"/>
      <c r="R117" s="41"/>
      <c r="S117" s="67"/>
    </row>
    <row r="118" spans="2:19" s="1" customFormat="1" ht="16.5" customHeight="1">
      <c r="B118" s="35"/>
      <c r="C118" s="48"/>
      <c r="D118" s="479" t="str">
        <f>RAB!D201</f>
        <v>PEKERJAAN PENGECATAN</v>
      </c>
      <c r="E118" s="8"/>
      <c r="F118" s="9"/>
      <c r="G118" s="36"/>
      <c r="H118" s="399"/>
      <c r="I118" s="78"/>
      <c r="J118" s="57"/>
      <c r="K118" s="78"/>
      <c r="L118" s="57"/>
      <c r="M118" s="78"/>
      <c r="N118" s="57"/>
      <c r="O118" s="78"/>
      <c r="P118" s="61"/>
      <c r="Q118" s="59"/>
      <c r="R118" s="41"/>
      <c r="S118" s="67"/>
    </row>
    <row r="119" spans="2:19" s="1" customFormat="1" ht="16.5" customHeight="1">
      <c r="B119" s="35"/>
      <c r="C119" s="48"/>
      <c r="D119" s="378">
        <f>RAB!D202</f>
        <v>1</v>
      </c>
      <c r="E119" s="8" t="str">
        <f>RAB!E202</f>
        <v>Pengecatan Cat Tembok Dinding Interior</v>
      </c>
      <c r="F119" s="9"/>
      <c r="G119" s="36"/>
      <c r="H119" s="399"/>
      <c r="I119" s="78"/>
      <c r="J119" s="57"/>
      <c r="K119" s="78"/>
      <c r="L119" s="57"/>
      <c r="M119" s="78"/>
      <c r="N119" s="57"/>
      <c r="O119" s="78"/>
      <c r="P119" s="61"/>
      <c r="Q119" s="59"/>
      <c r="R119" s="41">
        <f>P123</f>
        <v>45.7</v>
      </c>
      <c r="S119" s="67" t="s">
        <v>133</v>
      </c>
    </row>
    <row r="120" spans="2:19" s="1" customFormat="1" ht="16.5" customHeight="1">
      <c r="B120" s="35"/>
      <c r="C120" s="48"/>
      <c r="D120" s="378"/>
      <c r="E120" s="8"/>
      <c r="F120" s="9"/>
      <c r="G120" s="36"/>
      <c r="H120" s="392" t="s">
        <v>408</v>
      </c>
      <c r="I120" s="460"/>
      <c r="J120" s="461" t="s">
        <v>226</v>
      </c>
      <c r="K120" s="460"/>
      <c r="L120" s="461" t="s">
        <v>52</v>
      </c>
      <c r="M120" s="78"/>
      <c r="N120" s="57"/>
      <c r="O120" s="78"/>
      <c r="P120" s="61"/>
      <c r="Q120" s="59"/>
      <c r="R120" s="41"/>
      <c r="S120" s="67"/>
    </row>
    <row r="121" spans="2:19" s="1" customFormat="1" ht="16.5" customHeight="1">
      <c r="B121" s="35"/>
      <c r="C121" s="48"/>
      <c r="D121" s="378"/>
      <c r="E121" s="8"/>
      <c r="F121" s="9"/>
      <c r="G121" s="36" t="s">
        <v>423</v>
      </c>
      <c r="H121" s="392">
        <v>4.4000000000000004</v>
      </c>
      <c r="I121" s="460" t="s">
        <v>49</v>
      </c>
      <c r="J121" s="461">
        <v>1</v>
      </c>
      <c r="K121" s="460" t="s">
        <v>49</v>
      </c>
      <c r="L121" s="461">
        <f>R116</f>
        <v>5</v>
      </c>
      <c r="M121" s="78"/>
      <c r="N121" s="57"/>
      <c r="O121" s="78" t="s">
        <v>50</v>
      </c>
      <c r="P121" s="58">
        <f>H121*J121*L121</f>
        <v>22</v>
      </c>
      <c r="Q121" s="59" t="s">
        <v>133</v>
      </c>
      <c r="R121" s="41"/>
      <c r="S121" s="67"/>
    </row>
    <row r="122" spans="2:19" s="1" customFormat="1" ht="16.5" customHeight="1">
      <c r="B122" s="35"/>
      <c r="C122" s="48"/>
      <c r="D122" s="378"/>
      <c r="E122" s="8"/>
      <c r="F122" s="9"/>
      <c r="G122" s="36"/>
      <c r="H122" s="392">
        <v>23.7</v>
      </c>
      <c r="I122" s="460" t="s">
        <v>49</v>
      </c>
      <c r="J122" s="461">
        <v>1</v>
      </c>
      <c r="K122" s="460" t="s">
        <v>49</v>
      </c>
      <c r="L122" s="461">
        <v>1</v>
      </c>
      <c r="M122" s="78"/>
      <c r="N122" s="57"/>
      <c r="O122" s="78" t="s">
        <v>50</v>
      </c>
      <c r="P122" s="58">
        <f>H122*J122*L122</f>
        <v>23.7</v>
      </c>
      <c r="Q122" s="59" t="s">
        <v>133</v>
      </c>
      <c r="R122" s="41"/>
      <c r="S122" s="67"/>
    </row>
    <row r="123" spans="2:19" s="1" customFormat="1" ht="16.5" customHeight="1">
      <c r="B123" s="35"/>
      <c r="C123" s="48"/>
      <c r="D123" s="378"/>
      <c r="E123" s="8"/>
      <c r="F123" s="9"/>
      <c r="G123" s="36"/>
      <c r="H123" s="392"/>
      <c r="I123" s="460"/>
      <c r="J123" s="461"/>
      <c r="K123" s="460"/>
      <c r="L123" s="461"/>
      <c r="M123" s="78"/>
      <c r="N123" s="57"/>
      <c r="O123" s="78" t="s">
        <v>50</v>
      </c>
      <c r="P123" s="61">
        <f>SUM(P121:P122)</f>
        <v>45.7</v>
      </c>
      <c r="Q123" s="413" t="s">
        <v>133</v>
      </c>
      <c r="R123" s="41"/>
      <c r="S123" s="67"/>
    </row>
    <row r="124" spans="2:19" s="1" customFormat="1" ht="16.5" customHeight="1">
      <c r="B124" s="35"/>
      <c r="C124" s="48"/>
      <c r="D124" s="378">
        <f>RAB!D203</f>
        <v>2</v>
      </c>
      <c r="E124" s="8" t="str">
        <f>RAB!E203</f>
        <v>Pengecatan Plafond</v>
      </c>
      <c r="F124" s="9"/>
      <c r="G124" s="36"/>
      <c r="H124" s="399"/>
      <c r="I124" s="78"/>
      <c r="J124" s="57"/>
      <c r="K124" s="78"/>
      <c r="L124" s="57"/>
      <c r="M124" s="78"/>
      <c r="N124" s="57"/>
      <c r="O124" s="78"/>
      <c r="P124" s="61"/>
      <c r="Q124" s="59"/>
      <c r="R124" s="41">
        <f>R98</f>
        <v>36.180000000000007</v>
      </c>
      <c r="S124" s="67" t="s">
        <v>133</v>
      </c>
    </row>
    <row r="125" spans="2:19" s="1" customFormat="1" ht="16.5" customHeight="1">
      <c r="B125" s="35"/>
      <c r="C125" s="48"/>
      <c r="D125" s="378"/>
      <c r="E125" s="8"/>
      <c r="F125" s="9"/>
      <c r="G125" s="36"/>
      <c r="H125" s="399"/>
      <c r="I125" s="78"/>
      <c r="J125" s="57"/>
      <c r="K125" s="78"/>
      <c r="L125" s="57"/>
      <c r="M125" s="78"/>
      <c r="N125" s="57"/>
      <c r="O125" s="78"/>
      <c r="P125" s="61"/>
      <c r="Q125" s="59"/>
      <c r="R125" s="41"/>
      <c r="S125" s="67"/>
    </row>
    <row r="126" spans="2:19" s="1" customFormat="1" ht="16.5" customHeight="1">
      <c r="B126" s="381"/>
      <c r="C126" s="465" t="str">
        <f>RAB!C206</f>
        <v>E.4</v>
      </c>
      <c r="D126" s="382" t="str">
        <f>RAB!D206</f>
        <v>PEKERJAAN KAMAR MANDI - D</v>
      </c>
      <c r="E126" s="383"/>
      <c r="F126" s="383"/>
      <c r="G126" s="384"/>
      <c r="H126" s="400"/>
      <c r="I126" s="385"/>
      <c r="J126" s="389"/>
      <c r="K126" s="385"/>
      <c r="L126" s="389"/>
      <c r="M126" s="385"/>
      <c r="N126" s="389"/>
      <c r="O126" s="385"/>
      <c r="P126" s="466"/>
      <c r="Q126" s="467"/>
      <c r="R126" s="386"/>
      <c r="S126" s="387"/>
    </row>
    <row r="127" spans="2:19" s="1" customFormat="1" ht="16.5" customHeight="1">
      <c r="B127" s="35"/>
      <c r="C127" s="48"/>
      <c r="D127" s="378">
        <f>RAB!D208</f>
        <v>1</v>
      </c>
      <c r="E127" s="8" t="str">
        <f>RAB!E208</f>
        <v>Pekerjaan Bongkaran</v>
      </c>
      <c r="F127" s="9"/>
      <c r="G127" s="36"/>
      <c r="H127" s="399"/>
      <c r="I127" s="78"/>
      <c r="J127" s="57"/>
      <c r="K127" s="78"/>
      <c r="L127" s="57"/>
      <c r="M127" s="78"/>
      <c r="N127" s="57"/>
      <c r="O127" s="78"/>
      <c r="P127" s="61"/>
      <c r="Q127" s="59"/>
      <c r="R127" s="41">
        <v>1</v>
      </c>
      <c r="S127" s="67" t="s">
        <v>20</v>
      </c>
    </row>
    <row r="128" spans="2:19" s="1" customFormat="1" ht="16.5" customHeight="1">
      <c r="B128" s="35"/>
      <c r="C128" s="48"/>
      <c r="D128" s="378">
        <f>RAB!D209</f>
        <v>2</v>
      </c>
      <c r="E128" s="8" t="str">
        <f>RAB!E209</f>
        <v>Pekerjaan Pembersihan</v>
      </c>
      <c r="F128" s="9"/>
      <c r="G128" s="36"/>
      <c r="H128" s="399"/>
      <c r="I128" s="78"/>
      <c r="J128" s="57"/>
      <c r="K128" s="78"/>
      <c r="L128" s="57"/>
      <c r="M128" s="78"/>
      <c r="N128" s="57"/>
      <c r="O128" s="78"/>
      <c r="P128" s="61"/>
      <c r="Q128" s="59"/>
      <c r="R128" s="41">
        <v>1</v>
      </c>
      <c r="S128" s="67" t="s">
        <v>20</v>
      </c>
    </row>
    <row r="129" spans="2:19" s="1" customFormat="1" ht="16.5" customHeight="1">
      <c r="B129" s="35"/>
      <c r="C129" s="48"/>
      <c r="D129" s="378"/>
      <c r="E129" s="8"/>
      <c r="F129" s="9"/>
      <c r="G129" s="36"/>
      <c r="H129" s="399"/>
      <c r="I129" s="78"/>
      <c r="J129" s="57"/>
      <c r="K129" s="78"/>
      <c r="L129" s="57"/>
      <c r="M129" s="78"/>
      <c r="N129" s="57"/>
      <c r="O129" s="78"/>
      <c r="P129" s="61"/>
      <c r="Q129" s="59"/>
      <c r="R129" s="41"/>
      <c r="S129" s="67"/>
    </row>
    <row r="130" spans="2:19" s="1" customFormat="1" ht="16.5" customHeight="1">
      <c r="B130" s="35"/>
      <c r="C130" s="48"/>
      <c r="D130" s="378" t="str">
        <f>RAB!D211</f>
        <v>PEKERJAAN LANTAI</v>
      </c>
      <c r="E130" s="8"/>
      <c r="F130" s="9"/>
      <c r="G130" s="36"/>
      <c r="H130" s="399"/>
      <c r="I130" s="78"/>
      <c r="J130" s="57"/>
      <c r="K130" s="78"/>
      <c r="L130" s="57"/>
      <c r="M130" s="78"/>
      <c r="N130" s="57"/>
      <c r="O130" s="78"/>
      <c r="P130" s="61"/>
      <c r="Q130" s="59"/>
      <c r="R130" s="41"/>
      <c r="S130" s="67"/>
    </row>
    <row r="131" spans="2:19" s="1" customFormat="1" ht="16.5" customHeight="1">
      <c r="B131" s="35"/>
      <c r="C131" s="48"/>
      <c r="D131" s="378">
        <f>RAB!D212</f>
        <v>1</v>
      </c>
      <c r="E131" s="8" t="str">
        <f>RAB!E212</f>
        <v xml:space="preserve">Sisip Lantai Keramik </v>
      </c>
      <c r="F131" s="9"/>
      <c r="G131" s="36"/>
      <c r="H131" s="399"/>
      <c r="I131" s="78"/>
      <c r="J131" s="57"/>
      <c r="K131" s="78"/>
      <c r="L131" s="57"/>
      <c r="M131" s="78"/>
      <c r="N131" s="57"/>
      <c r="O131" s="78"/>
      <c r="P131" s="61"/>
      <c r="Q131" s="59"/>
      <c r="R131" s="41">
        <f>P133</f>
        <v>9</v>
      </c>
      <c r="S131" s="67" t="s">
        <v>133</v>
      </c>
    </row>
    <row r="132" spans="2:19" s="1" customFormat="1" ht="16.5" customHeight="1">
      <c r="B132" s="35"/>
      <c r="C132" s="48"/>
      <c r="D132" s="378"/>
      <c r="E132" s="8"/>
      <c r="F132" s="9"/>
      <c r="G132" s="23"/>
      <c r="H132" s="392" t="s">
        <v>408</v>
      </c>
      <c r="I132" s="460"/>
      <c r="J132" s="461" t="s">
        <v>226</v>
      </c>
      <c r="K132" s="78"/>
      <c r="L132" s="57"/>
      <c r="M132" s="78"/>
      <c r="N132" s="57"/>
      <c r="O132" s="79"/>
      <c r="P132" s="61"/>
      <c r="Q132" s="59"/>
      <c r="R132" s="41"/>
      <c r="S132" s="67"/>
    </row>
    <row r="133" spans="2:19" s="1" customFormat="1" ht="16.5" customHeight="1">
      <c r="B133" s="35"/>
      <c r="C133" s="48"/>
      <c r="D133" s="378"/>
      <c r="E133" s="8"/>
      <c r="F133" s="9"/>
      <c r="G133" s="23"/>
      <c r="H133" s="392">
        <v>3</v>
      </c>
      <c r="I133" s="460" t="s">
        <v>49</v>
      </c>
      <c r="J133" s="461">
        <v>3</v>
      </c>
      <c r="K133" s="78"/>
      <c r="L133" s="57"/>
      <c r="M133" s="78"/>
      <c r="N133" s="57"/>
      <c r="O133" s="78" t="s">
        <v>50</v>
      </c>
      <c r="P133" s="61">
        <f>H133*J133</f>
        <v>9</v>
      </c>
      <c r="Q133" s="413" t="s">
        <v>133</v>
      </c>
      <c r="R133" s="41"/>
      <c r="S133" s="67"/>
    </row>
    <row r="134" spans="2:19" s="1" customFormat="1" ht="16.5" customHeight="1">
      <c r="B134" s="35"/>
      <c r="C134" s="48"/>
      <c r="D134" s="378"/>
      <c r="E134" s="8"/>
      <c r="F134" s="9"/>
      <c r="G134" s="36"/>
      <c r="H134" s="399"/>
      <c r="I134" s="78"/>
      <c r="J134" s="57"/>
      <c r="K134" s="78"/>
      <c r="L134" s="57"/>
      <c r="M134" s="78"/>
      <c r="N134" s="57"/>
      <c r="O134" s="78"/>
      <c r="P134" s="61"/>
      <c r="Q134" s="59"/>
      <c r="R134" s="41"/>
      <c r="S134" s="67"/>
    </row>
    <row r="135" spans="2:19" s="1" customFormat="1" ht="16.5" customHeight="1">
      <c r="B135" s="35"/>
      <c r="C135" s="48"/>
      <c r="D135" s="378">
        <f>RAB!D213</f>
        <v>2</v>
      </c>
      <c r="E135" s="8" t="str">
        <f>RAB!E213</f>
        <v xml:space="preserve">Sisip Keramik Dinding </v>
      </c>
      <c r="F135" s="9"/>
      <c r="G135" s="36"/>
      <c r="H135" s="399"/>
      <c r="I135" s="78"/>
      <c r="J135" s="57"/>
      <c r="K135" s="78"/>
      <c r="L135" s="57"/>
      <c r="M135" s="78"/>
      <c r="N135" s="57"/>
      <c r="O135" s="78"/>
      <c r="P135" s="61"/>
      <c r="Q135" s="59"/>
      <c r="R135" s="41">
        <f>P137</f>
        <v>9</v>
      </c>
      <c r="S135" s="67" t="s">
        <v>133</v>
      </c>
    </row>
    <row r="136" spans="2:19" s="1" customFormat="1" ht="16.5" customHeight="1">
      <c r="B136" s="35"/>
      <c r="C136" s="48"/>
      <c r="D136" s="378"/>
      <c r="E136" s="8"/>
      <c r="F136" s="9"/>
      <c r="G136" s="36"/>
      <c r="H136" s="392" t="s">
        <v>408</v>
      </c>
      <c r="I136" s="460"/>
      <c r="J136" s="461" t="s">
        <v>226</v>
      </c>
      <c r="K136" s="78"/>
      <c r="L136" s="57"/>
      <c r="M136" s="78"/>
      <c r="N136" s="57"/>
      <c r="O136" s="79"/>
      <c r="P136" s="61"/>
      <c r="Q136" s="59"/>
      <c r="R136" s="41"/>
      <c r="S136" s="67"/>
    </row>
    <row r="137" spans="2:19" s="1" customFormat="1" ht="16.5" customHeight="1">
      <c r="B137" s="35"/>
      <c r="C137" s="48"/>
      <c r="D137" s="378"/>
      <c r="E137" s="8"/>
      <c r="F137" s="9"/>
      <c r="G137" s="36"/>
      <c r="H137" s="392">
        <v>3</v>
      </c>
      <c r="I137" s="460" t="s">
        <v>49</v>
      </c>
      <c r="J137" s="461">
        <v>3</v>
      </c>
      <c r="K137" s="78"/>
      <c r="L137" s="57"/>
      <c r="M137" s="78"/>
      <c r="N137" s="57"/>
      <c r="O137" s="78" t="s">
        <v>50</v>
      </c>
      <c r="P137" s="61">
        <f>H137*J137</f>
        <v>9</v>
      </c>
      <c r="Q137" s="413" t="s">
        <v>133</v>
      </c>
      <c r="R137" s="41"/>
      <c r="S137" s="67"/>
    </row>
    <row r="138" spans="2:19" s="1" customFormat="1" ht="16.5" customHeight="1">
      <c r="B138" s="35"/>
      <c r="C138" s="48"/>
      <c r="D138" s="378"/>
      <c r="E138" s="8"/>
      <c r="F138" s="9"/>
      <c r="G138" s="36"/>
      <c r="H138" s="399"/>
      <c r="I138" s="78"/>
      <c r="J138" s="57"/>
      <c r="K138" s="78"/>
      <c r="L138" s="57"/>
      <c r="M138" s="78"/>
      <c r="N138" s="57"/>
      <c r="O138" s="78"/>
      <c r="P138" s="61"/>
      <c r="Q138" s="59"/>
      <c r="R138" s="41"/>
      <c r="S138" s="67"/>
    </row>
    <row r="139" spans="2:19" s="1" customFormat="1" ht="16.5" customHeight="1">
      <c r="B139" s="35"/>
      <c r="C139" s="48"/>
      <c r="D139" s="378" t="str">
        <f>RAB!D215</f>
        <v>PEKERJAAN INSTALASI LISTRIK</v>
      </c>
      <c r="E139" s="8"/>
      <c r="F139" s="9"/>
      <c r="G139" s="36"/>
      <c r="H139" s="399"/>
      <c r="I139" s="78"/>
      <c r="J139" s="57"/>
      <c r="K139" s="78"/>
      <c r="L139" s="57"/>
      <c r="M139" s="78"/>
      <c r="N139" s="57"/>
      <c r="O139" s="78"/>
      <c r="P139" s="61"/>
      <c r="Q139" s="59"/>
      <c r="R139" s="41"/>
      <c r="S139" s="67"/>
    </row>
    <row r="140" spans="2:19" s="1" customFormat="1" ht="16.5" customHeight="1">
      <c r="B140" s="35"/>
      <c r="C140" s="48"/>
      <c r="D140" s="378">
        <f>RAB!D217</f>
        <v>2</v>
      </c>
      <c r="E140" s="8" t="str">
        <f>RAB!E217</f>
        <v>Lampu LED 7 watt + Fitting Downlight</v>
      </c>
      <c r="F140" s="9"/>
      <c r="G140" s="36"/>
      <c r="H140" s="399"/>
      <c r="I140" s="78"/>
      <c r="J140" s="57"/>
      <c r="K140" s="78"/>
      <c r="L140" s="57"/>
      <c r="M140" s="78"/>
      <c r="N140" s="57"/>
      <c r="O140" s="78"/>
      <c r="P140" s="61"/>
      <c r="Q140" s="59"/>
      <c r="R140" s="41">
        <v>10</v>
      </c>
      <c r="S140" s="67" t="s">
        <v>62</v>
      </c>
    </row>
    <row r="141" spans="2:19" s="1" customFormat="1" ht="16.5" customHeight="1">
      <c r="B141" s="35"/>
      <c r="C141" s="48"/>
      <c r="D141" s="378"/>
      <c r="E141" s="8"/>
      <c r="F141" s="9"/>
      <c r="G141" s="36"/>
      <c r="H141" s="399"/>
      <c r="I141" s="78"/>
      <c r="J141" s="57"/>
      <c r="K141" s="78"/>
      <c r="L141" s="57"/>
      <c r="M141" s="78"/>
      <c r="N141" s="57"/>
      <c r="O141" s="78"/>
      <c r="P141" s="61"/>
      <c r="Q141" s="59"/>
      <c r="R141" s="41"/>
      <c r="S141" s="67"/>
    </row>
    <row r="142" spans="2:19" s="1" customFormat="1" ht="16.5" customHeight="1">
      <c r="B142" s="35"/>
      <c r="C142" s="48"/>
      <c r="D142" s="378" t="str">
        <f>RAB!D219</f>
        <v>PEKERJAAN SANITAIR &amp; PLUMBING</v>
      </c>
      <c r="E142" s="8"/>
      <c r="F142" s="9"/>
      <c r="G142" s="36"/>
      <c r="H142" s="399"/>
      <c r="I142" s="78"/>
      <c r="J142" s="57"/>
      <c r="K142" s="78"/>
      <c r="L142" s="57"/>
      <c r="M142" s="78"/>
      <c r="N142" s="57"/>
      <c r="O142" s="78"/>
      <c r="P142" s="61"/>
      <c r="Q142" s="59"/>
      <c r="R142" s="41"/>
      <c r="S142" s="67"/>
    </row>
    <row r="143" spans="2:19" s="1" customFormat="1" ht="16.5" customHeight="1">
      <c r="B143" s="35"/>
      <c r="C143" s="48"/>
      <c r="D143" s="378">
        <f>RAB!D220</f>
        <v>1</v>
      </c>
      <c r="E143" s="8" t="str">
        <f>RAB!E220</f>
        <v>Pipa Air Bersih PVC Dia. 15 mm (1/2")</v>
      </c>
      <c r="F143" s="9"/>
      <c r="G143" s="36"/>
      <c r="H143" s="399"/>
      <c r="I143" s="78"/>
      <c r="J143" s="57"/>
      <c r="K143" s="78"/>
      <c r="L143" s="57"/>
      <c r="M143" s="78"/>
      <c r="N143" s="57"/>
      <c r="O143" s="78"/>
      <c r="P143" s="61"/>
      <c r="Q143" s="59"/>
      <c r="R143" s="41">
        <v>25</v>
      </c>
      <c r="S143" s="67" t="s">
        <v>21</v>
      </c>
    </row>
    <row r="144" spans="2:19" s="1" customFormat="1" ht="16.5" customHeight="1">
      <c r="B144" s="35"/>
      <c r="C144" s="48"/>
      <c r="D144" s="378">
        <f>RAB!D221</f>
        <v>2</v>
      </c>
      <c r="E144" s="8" t="str">
        <f>RAB!E221</f>
        <v>Kran Air Stainless 1/2"</v>
      </c>
      <c r="F144" s="9"/>
      <c r="G144" s="36"/>
      <c r="H144" s="399"/>
      <c r="I144" s="78"/>
      <c r="J144" s="57"/>
      <c r="K144" s="78"/>
      <c r="L144" s="57"/>
      <c r="M144" s="78"/>
      <c r="N144" s="57"/>
      <c r="O144" s="78"/>
      <c r="P144" s="61"/>
      <c r="Q144" s="59"/>
      <c r="R144" s="41">
        <v>6</v>
      </c>
      <c r="S144" s="67" t="s">
        <v>62</v>
      </c>
    </row>
    <row r="145" spans="2:20" s="1" customFormat="1" ht="16.5" customHeight="1">
      <c r="B145" s="35"/>
      <c r="C145" s="48"/>
      <c r="D145" s="378">
        <f>RAB!D222</f>
        <v>3</v>
      </c>
      <c r="E145" s="8" t="str">
        <f>RAB!E222</f>
        <v>Floordrain</v>
      </c>
      <c r="F145" s="9"/>
      <c r="G145" s="36"/>
      <c r="H145" s="399"/>
      <c r="I145" s="78"/>
      <c r="J145" s="57"/>
      <c r="K145" s="78"/>
      <c r="L145" s="57"/>
      <c r="M145" s="78"/>
      <c r="N145" s="57"/>
      <c r="O145" s="78"/>
      <c r="P145" s="61"/>
      <c r="Q145" s="59"/>
      <c r="R145" s="41">
        <f>R144</f>
        <v>6</v>
      </c>
      <c r="S145" s="67" t="s">
        <v>62</v>
      </c>
    </row>
    <row r="146" spans="2:20" s="1" customFormat="1" ht="16.5" customHeight="1">
      <c r="B146" s="35"/>
      <c r="C146" s="48"/>
      <c r="D146" s="378"/>
      <c r="E146" s="8"/>
      <c r="F146" s="9"/>
      <c r="G146" s="36"/>
      <c r="H146" s="399"/>
      <c r="I146" s="78"/>
      <c r="J146" s="57"/>
      <c r="K146" s="78"/>
      <c r="L146" s="57"/>
      <c r="M146" s="78"/>
      <c r="N146" s="57"/>
      <c r="O146" s="78"/>
      <c r="P146" s="61"/>
      <c r="Q146" s="59"/>
      <c r="R146" s="41"/>
      <c r="S146" s="67"/>
    </row>
    <row r="147" spans="2:20" s="1" customFormat="1" ht="16.5" customHeight="1">
      <c r="B147" s="35"/>
      <c r="C147" s="48"/>
      <c r="D147" s="378" t="str">
        <f>RAB!D224</f>
        <v xml:space="preserve">PEKERJAAN PINTU </v>
      </c>
      <c r="E147" s="8"/>
      <c r="F147" s="9"/>
      <c r="G147" s="36"/>
      <c r="H147" s="399"/>
      <c r="I147" s="78"/>
      <c r="J147" s="57"/>
      <c r="K147" s="78"/>
      <c r="L147" s="57"/>
      <c r="M147" s="78"/>
      <c r="N147" s="57"/>
      <c r="O147" s="78"/>
      <c r="P147" s="61"/>
      <c r="Q147" s="59"/>
      <c r="R147" s="41"/>
      <c r="S147" s="67"/>
    </row>
    <row r="148" spans="2:20" s="1" customFormat="1" ht="16.5" customHeight="1">
      <c r="B148" s="35"/>
      <c r="C148" s="48"/>
      <c r="D148" s="378">
        <f>RAB!D225</f>
        <v>1</v>
      </c>
      <c r="E148" s="8" t="str">
        <f>RAB!E225</f>
        <v>Pas. Kunci Tanam</v>
      </c>
      <c r="F148" s="9"/>
      <c r="G148" s="36"/>
      <c r="H148" s="399"/>
      <c r="I148" s="78"/>
      <c r="J148" s="57"/>
      <c r="K148" s="78"/>
      <c r="L148" s="57"/>
      <c r="M148" s="78"/>
      <c r="N148" s="57"/>
      <c r="O148" s="78"/>
      <c r="P148" s="61"/>
      <c r="Q148" s="59"/>
      <c r="R148" s="41">
        <v>2</v>
      </c>
      <c r="S148" s="67" t="s">
        <v>62</v>
      </c>
    </row>
    <row r="149" spans="2:20" s="1" customFormat="1" ht="16.5" customHeight="1">
      <c r="B149" s="35"/>
      <c r="C149" s="48"/>
      <c r="D149" s="378">
        <f>RAB!D226</f>
        <v>2</v>
      </c>
      <c r="E149" s="8" t="str">
        <f>RAB!E226</f>
        <v>Pas. Pintu Toilet Aluminium</v>
      </c>
      <c r="F149" s="9"/>
      <c r="G149" s="36"/>
      <c r="H149" s="399"/>
      <c r="I149" s="78"/>
      <c r="J149" s="57"/>
      <c r="K149" s="78"/>
      <c r="L149" s="57"/>
      <c r="M149" s="78"/>
      <c r="N149" s="57"/>
      <c r="O149" s="78"/>
      <c r="P149" s="61"/>
      <c r="Q149" s="59"/>
      <c r="R149" s="41">
        <v>6</v>
      </c>
      <c r="S149" s="67" t="s">
        <v>62</v>
      </c>
    </row>
    <row r="150" spans="2:20" s="1" customFormat="1" ht="16.5" customHeight="1">
      <c r="B150" s="35"/>
      <c r="C150" s="48"/>
      <c r="D150" s="378"/>
      <c r="E150" s="8"/>
      <c r="F150" s="9"/>
      <c r="G150" s="36"/>
      <c r="H150" s="399"/>
      <c r="I150" s="78"/>
      <c r="J150" s="57"/>
      <c r="K150" s="78"/>
      <c r="L150" s="57"/>
      <c r="M150" s="78"/>
      <c r="N150" s="57"/>
      <c r="O150" s="78"/>
      <c r="P150" s="61"/>
      <c r="Q150" s="59"/>
      <c r="R150" s="41"/>
      <c r="S150" s="67"/>
    </row>
    <row r="151" spans="2:20" s="1" customFormat="1" ht="16.5" customHeight="1">
      <c r="B151" s="35"/>
      <c r="C151" s="48"/>
      <c r="D151" s="378" t="str">
        <f>RAB!D228</f>
        <v>PEKERJAAN PENGECATAN</v>
      </c>
      <c r="E151" s="8"/>
      <c r="F151" s="9"/>
      <c r="G151" s="36"/>
      <c r="H151" s="399"/>
      <c r="I151" s="78"/>
      <c r="J151" s="57"/>
      <c r="K151" s="78"/>
      <c r="L151" s="57"/>
      <c r="M151" s="78"/>
      <c r="N151" s="57"/>
      <c r="O151" s="78"/>
      <c r="P151" s="61"/>
      <c r="Q151" s="59"/>
      <c r="R151" s="41"/>
      <c r="S151" s="67"/>
    </row>
    <row r="152" spans="2:20" s="1" customFormat="1" ht="16.5" customHeight="1">
      <c r="B152" s="35"/>
      <c r="C152" s="48"/>
      <c r="D152" s="378">
        <f>RAB!D229</f>
        <v>1</v>
      </c>
      <c r="E152" s="8" t="str">
        <f>RAB!E229</f>
        <v>Pengecatan Cat Tembok Dinding Interior</v>
      </c>
      <c r="F152" s="9"/>
      <c r="G152" s="36"/>
      <c r="H152" s="399"/>
      <c r="I152" s="78"/>
      <c r="J152" s="57"/>
      <c r="K152" s="78"/>
      <c r="L152" s="57"/>
      <c r="M152" s="78"/>
      <c r="N152" s="57"/>
      <c r="O152" s="78"/>
      <c r="P152" s="61"/>
      <c r="Q152" s="59"/>
      <c r="R152" s="41">
        <f>P156</f>
        <v>58.4</v>
      </c>
      <c r="S152" s="67" t="s">
        <v>133</v>
      </c>
    </row>
    <row r="153" spans="2:20" s="1" customFormat="1" ht="16.5" customHeight="1">
      <c r="B153" s="35"/>
      <c r="C153" s="48"/>
      <c r="D153" s="378"/>
      <c r="E153" s="8"/>
      <c r="F153" s="9"/>
      <c r="G153" s="36"/>
      <c r="H153" s="392" t="s">
        <v>408</v>
      </c>
      <c r="I153" s="460"/>
      <c r="J153" s="461" t="s">
        <v>226</v>
      </c>
      <c r="K153" s="460"/>
      <c r="L153" s="461" t="s">
        <v>52</v>
      </c>
      <c r="M153" s="78"/>
      <c r="N153" s="57"/>
      <c r="O153" s="78"/>
      <c r="P153" s="61"/>
      <c r="Q153" s="59"/>
      <c r="R153" s="41"/>
      <c r="S153" s="67"/>
    </row>
    <row r="154" spans="2:20" s="1" customFormat="1" ht="16.5" customHeight="1">
      <c r="B154" s="35"/>
      <c r="C154" s="48"/>
      <c r="D154" s="378"/>
      <c r="E154" s="8"/>
      <c r="F154" s="9"/>
      <c r="G154" s="36" t="s">
        <v>423</v>
      </c>
      <c r="H154" s="392">
        <v>4.8</v>
      </c>
      <c r="I154" s="460" t="s">
        <v>49</v>
      </c>
      <c r="J154" s="461">
        <v>1</v>
      </c>
      <c r="K154" s="460" t="s">
        <v>49</v>
      </c>
      <c r="L154" s="461">
        <v>6</v>
      </c>
      <c r="M154" s="78"/>
      <c r="N154" s="57"/>
      <c r="O154" s="78" t="s">
        <v>50</v>
      </c>
      <c r="P154" s="58">
        <f>H154*J154*L154</f>
        <v>28.799999999999997</v>
      </c>
      <c r="Q154" s="59" t="s">
        <v>133</v>
      </c>
      <c r="R154" s="41"/>
      <c r="S154" s="67"/>
    </row>
    <row r="155" spans="2:20" s="1" customFormat="1" ht="16.5" customHeight="1">
      <c r="B155" s="35"/>
      <c r="C155" s="48"/>
      <c r="D155" s="378"/>
      <c r="E155" s="8"/>
      <c r="F155" s="9"/>
      <c r="G155" s="36"/>
      <c r="H155" s="392">
        <v>14.8</v>
      </c>
      <c r="I155" s="460" t="s">
        <v>49</v>
      </c>
      <c r="J155" s="461">
        <v>1</v>
      </c>
      <c r="K155" s="460" t="s">
        <v>49</v>
      </c>
      <c r="L155" s="461">
        <v>2</v>
      </c>
      <c r="M155" s="78"/>
      <c r="N155" s="57"/>
      <c r="O155" s="78" t="s">
        <v>50</v>
      </c>
      <c r="P155" s="58">
        <f>H155*J155*L155</f>
        <v>29.6</v>
      </c>
      <c r="Q155" s="59" t="s">
        <v>133</v>
      </c>
      <c r="R155" s="41"/>
      <c r="S155" s="67"/>
    </row>
    <row r="156" spans="2:20" s="1" customFormat="1" ht="16.5" customHeight="1">
      <c r="B156" s="35"/>
      <c r="C156" s="48"/>
      <c r="D156" s="378"/>
      <c r="E156" s="8"/>
      <c r="F156" s="9"/>
      <c r="G156" s="36"/>
      <c r="H156" s="392"/>
      <c r="I156" s="460"/>
      <c r="J156" s="461"/>
      <c r="K156" s="460"/>
      <c r="L156" s="461"/>
      <c r="M156" s="78"/>
      <c r="N156" s="57"/>
      <c r="O156" s="78" t="s">
        <v>50</v>
      </c>
      <c r="P156" s="61">
        <f>SUM(P154:P155)</f>
        <v>58.4</v>
      </c>
      <c r="Q156" s="413" t="s">
        <v>133</v>
      </c>
      <c r="R156" s="41"/>
      <c r="S156" s="67"/>
    </row>
    <row r="157" spans="2:20" s="1" customFormat="1" ht="16.5" customHeight="1">
      <c r="B157" s="35"/>
      <c r="C157" s="48"/>
      <c r="D157" s="378"/>
      <c r="E157" s="8"/>
      <c r="F157" s="9"/>
      <c r="G157" s="36"/>
      <c r="H157" s="399"/>
      <c r="I157" s="78"/>
      <c r="J157" s="57"/>
      <c r="K157" s="78"/>
      <c r="L157" s="57"/>
      <c r="M157" s="78"/>
      <c r="N157" s="57"/>
      <c r="O157" s="78"/>
      <c r="P157" s="61"/>
      <c r="Q157" s="59"/>
      <c r="R157" s="41"/>
      <c r="S157" s="67"/>
    </row>
    <row r="158" spans="2:20" s="1" customFormat="1" ht="16.5" customHeight="1">
      <c r="B158" s="35"/>
      <c r="C158" s="48"/>
      <c r="D158" s="378"/>
      <c r="E158" s="8"/>
      <c r="F158" s="9"/>
      <c r="G158" s="36"/>
      <c r="H158" s="399"/>
      <c r="I158" s="78"/>
      <c r="J158" s="57"/>
      <c r="K158" s="78"/>
      <c r="L158" s="57"/>
      <c r="M158" s="78"/>
      <c r="N158" s="57"/>
      <c r="O158" s="78"/>
      <c r="P158" s="61"/>
      <c r="Q158" s="59"/>
      <c r="R158" s="41"/>
      <c r="S158" s="67"/>
    </row>
    <row r="159" spans="2:20" s="1" customFormat="1" ht="16.5" customHeight="1">
      <c r="B159" s="35"/>
      <c r="C159" s="48"/>
      <c r="D159" s="378"/>
      <c r="E159" s="8"/>
      <c r="F159" s="9"/>
      <c r="G159" s="36"/>
      <c r="H159" s="399"/>
      <c r="I159" s="78"/>
      <c r="J159" s="57"/>
      <c r="K159" s="78"/>
      <c r="L159" s="57"/>
      <c r="M159" s="78"/>
      <c r="N159" s="57"/>
      <c r="O159" s="78"/>
      <c r="P159" s="61"/>
      <c r="Q159" s="59"/>
      <c r="R159" s="41"/>
      <c r="S159" s="67"/>
    </row>
    <row r="160" spans="2:20">
      <c r="H160" s="62"/>
      <c r="R160" s="428"/>
      <c r="S160" s="429"/>
      <c r="T160" s="430"/>
    </row>
    <row r="161" spans="8:20">
      <c r="H161" s="62"/>
      <c r="R161" s="428"/>
      <c r="S161" s="429"/>
      <c r="T161" s="430"/>
    </row>
    <row r="162" spans="8:20">
      <c r="H162" s="62"/>
      <c r="R162" s="428"/>
      <c r="S162" s="429"/>
      <c r="T162" s="430"/>
    </row>
    <row r="163" spans="8:20">
      <c r="H163" s="62"/>
      <c r="R163" s="428"/>
      <c r="S163" s="429"/>
      <c r="T163" s="430"/>
    </row>
    <row r="164" spans="8:20">
      <c r="H164" s="62"/>
      <c r="R164" s="428"/>
      <c r="S164" s="429"/>
      <c r="T164" s="430"/>
    </row>
    <row r="165" spans="8:20">
      <c r="H165" s="62"/>
      <c r="R165" s="428"/>
      <c r="S165" s="429"/>
      <c r="T165" s="430"/>
    </row>
    <row r="166" spans="8:20">
      <c r="H166" s="62"/>
      <c r="R166" s="428"/>
      <c r="S166" s="429"/>
      <c r="T166" s="430"/>
    </row>
    <row r="167" spans="8:20">
      <c r="H167" s="62"/>
      <c r="R167" s="428"/>
      <c r="S167" s="429"/>
      <c r="T167" s="430"/>
    </row>
    <row r="168" spans="8:20">
      <c r="H168" s="62"/>
      <c r="R168" s="428"/>
      <c r="S168" s="429"/>
      <c r="T168" s="430"/>
    </row>
    <row r="169" spans="8:20">
      <c r="H169" s="62"/>
      <c r="R169" s="428"/>
      <c r="S169" s="429"/>
      <c r="T169" s="430"/>
    </row>
    <row r="170" spans="8:20">
      <c r="H170" s="62"/>
      <c r="R170" s="428"/>
      <c r="S170" s="429"/>
      <c r="T170" s="430"/>
    </row>
    <row r="171" spans="8:20">
      <c r="H171" s="62"/>
      <c r="R171" s="428"/>
      <c r="S171" s="429"/>
      <c r="T171" s="430"/>
    </row>
    <row r="172" spans="8:20">
      <c r="H172" s="62"/>
      <c r="R172" s="428"/>
      <c r="S172" s="429"/>
      <c r="T172" s="430"/>
    </row>
    <row r="173" spans="8:20">
      <c r="H173" s="62"/>
      <c r="R173" s="428"/>
      <c r="S173" s="429"/>
      <c r="T173" s="430"/>
    </row>
    <row r="174" spans="8:20">
      <c r="H174" s="62"/>
      <c r="R174" s="428"/>
      <c r="S174" s="429"/>
      <c r="T174" s="430"/>
    </row>
    <row r="175" spans="8:20">
      <c r="H175" s="62"/>
      <c r="R175" s="428"/>
      <c r="S175" s="429"/>
      <c r="T175" s="430"/>
    </row>
    <row r="176" spans="8:20">
      <c r="H176" s="62"/>
      <c r="R176" s="428"/>
      <c r="S176" s="429"/>
      <c r="T176" s="430"/>
    </row>
    <row r="177" spans="8:20">
      <c r="H177" s="62"/>
      <c r="R177" s="428"/>
      <c r="S177" s="429"/>
      <c r="T177" s="430"/>
    </row>
    <row r="178" spans="8:20">
      <c r="H178" s="62"/>
      <c r="R178" s="428"/>
      <c r="S178" s="429"/>
      <c r="T178" s="430"/>
    </row>
    <row r="179" spans="8:20">
      <c r="H179" s="62"/>
      <c r="R179" s="428"/>
      <c r="S179" s="429"/>
      <c r="T179" s="430"/>
    </row>
    <row r="180" spans="8:20">
      <c r="H180" s="62"/>
      <c r="R180" s="428"/>
      <c r="S180" s="429"/>
      <c r="T180" s="430"/>
    </row>
    <row r="181" spans="8:20">
      <c r="H181" s="62"/>
      <c r="R181" s="428"/>
      <c r="S181" s="429"/>
      <c r="T181" s="430"/>
    </row>
    <row r="182" spans="8:20">
      <c r="H182" s="62"/>
      <c r="R182" s="428"/>
      <c r="S182" s="429"/>
      <c r="T182" s="430"/>
    </row>
    <row r="183" spans="8:20">
      <c r="H183" s="62"/>
      <c r="R183" s="428"/>
      <c r="S183" s="429"/>
      <c r="T183" s="430"/>
    </row>
    <row r="184" spans="8:20">
      <c r="H184" s="62"/>
      <c r="R184" s="428"/>
      <c r="S184" s="429"/>
      <c r="T184" s="430"/>
    </row>
    <row r="185" spans="8:20">
      <c r="H185" s="62"/>
      <c r="R185" s="428"/>
      <c r="S185" s="429"/>
      <c r="T185" s="430"/>
    </row>
    <row r="186" spans="8:20">
      <c r="H186" s="62"/>
      <c r="R186" s="428"/>
      <c r="S186" s="429"/>
      <c r="T186" s="430"/>
    </row>
    <row r="187" spans="8:20">
      <c r="H187" s="62"/>
      <c r="R187" s="428"/>
      <c r="S187" s="429"/>
      <c r="T187" s="430"/>
    </row>
    <row r="188" spans="8:20">
      <c r="H188" s="62"/>
      <c r="R188" s="428"/>
      <c r="S188" s="429"/>
      <c r="T188" s="430"/>
    </row>
    <row r="189" spans="8:20">
      <c r="H189" s="62"/>
      <c r="R189" s="428"/>
      <c r="S189" s="429"/>
      <c r="T189" s="430"/>
    </row>
    <row r="190" spans="8:20">
      <c r="H190" s="62"/>
      <c r="R190" s="428"/>
      <c r="S190" s="429"/>
      <c r="T190" s="430"/>
    </row>
    <row r="191" spans="8:20">
      <c r="H191" s="62"/>
      <c r="R191" s="428"/>
      <c r="S191" s="429"/>
      <c r="T191" s="430"/>
    </row>
    <row r="192" spans="8:20">
      <c r="H192" s="62"/>
      <c r="R192" s="428"/>
      <c r="S192" s="429"/>
      <c r="T192" s="430"/>
    </row>
    <row r="193" spans="8:20">
      <c r="H193" s="62"/>
      <c r="R193" s="428"/>
      <c r="S193" s="429"/>
      <c r="T193" s="430"/>
    </row>
    <row r="194" spans="8:20">
      <c r="H194" s="62"/>
      <c r="R194" s="428"/>
      <c r="S194" s="429"/>
      <c r="T194" s="430"/>
    </row>
    <row r="195" spans="8:20">
      <c r="H195" s="62"/>
      <c r="R195" s="428"/>
      <c r="S195" s="429"/>
      <c r="T195" s="430"/>
    </row>
    <row r="196" spans="8:20">
      <c r="H196" s="62"/>
      <c r="R196" s="428"/>
      <c r="S196" s="429"/>
      <c r="T196" s="430"/>
    </row>
    <row r="197" spans="8:20">
      <c r="H197" s="62"/>
      <c r="R197" s="428"/>
      <c r="S197" s="429"/>
      <c r="T197" s="430"/>
    </row>
    <row r="198" spans="8:20">
      <c r="H198" s="62"/>
      <c r="R198" s="428"/>
      <c r="S198" s="429"/>
      <c r="T198" s="430"/>
    </row>
    <row r="199" spans="8:20">
      <c r="H199" s="62"/>
      <c r="R199" s="428"/>
      <c r="S199" s="429"/>
      <c r="T199" s="430"/>
    </row>
    <row r="200" spans="8:20">
      <c r="H200" s="62"/>
      <c r="R200" s="428"/>
      <c r="S200" s="429"/>
      <c r="T200" s="430"/>
    </row>
    <row r="201" spans="8:20">
      <c r="H201" s="62"/>
      <c r="R201" s="428"/>
      <c r="S201" s="429"/>
      <c r="T201" s="430"/>
    </row>
    <row r="202" spans="8:20">
      <c r="H202" s="62"/>
      <c r="R202" s="428"/>
      <c r="S202" s="429"/>
      <c r="T202" s="430"/>
    </row>
    <row r="203" spans="8:20">
      <c r="H203" s="62"/>
      <c r="R203" s="428"/>
      <c r="S203" s="429"/>
      <c r="T203" s="430"/>
    </row>
    <row r="204" spans="8:20">
      <c r="H204" s="62"/>
      <c r="R204" s="428"/>
      <c r="S204" s="429"/>
      <c r="T204" s="430"/>
    </row>
    <row r="205" spans="8:20">
      <c r="H205" s="62"/>
      <c r="R205" s="428"/>
      <c r="S205" s="429"/>
      <c r="T205" s="430"/>
    </row>
    <row r="206" spans="8:20">
      <c r="H206" s="62"/>
      <c r="R206" s="428"/>
      <c r="S206" s="429"/>
      <c r="T206" s="430"/>
    </row>
    <row r="207" spans="8:20">
      <c r="H207" s="62"/>
      <c r="R207" s="428"/>
      <c r="S207" s="429"/>
      <c r="T207" s="430"/>
    </row>
    <row r="208" spans="8:20">
      <c r="H208" s="62"/>
      <c r="R208" s="428"/>
      <c r="S208" s="429"/>
      <c r="T208" s="430"/>
    </row>
    <row r="209" spans="8:20">
      <c r="H209" s="62"/>
      <c r="R209" s="428"/>
      <c r="S209" s="429"/>
      <c r="T209" s="430"/>
    </row>
    <row r="210" spans="8:20">
      <c r="H210" s="62"/>
      <c r="R210" s="428"/>
      <c r="S210" s="429"/>
      <c r="T210" s="430"/>
    </row>
    <row r="211" spans="8:20">
      <c r="H211" s="62"/>
      <c r="R211" s="428"/>
      <c r="S211" s="429"/>
      <c r="T211" s="430"/>
    </row>
    <row r="212" spans="8:20">
      <c r="H212" s="62"/>
      <c r="R212" s="428"/>
      <c r="S212" s="429"/>
      <c r="T212" s="430"/>
    </row>
    <row r="213" spans="8:20">
      <c r="H213" s="62"/>
      <c r="R213" s="428"/>
      <c r="S213" s="429"/>
      <c r="T213" s="430"/>
    </row>
    <row r="214" spans="8:20">
      <c r="H214" s="62"/>
      <c r="R214" s="428"/>
      <c r="S214" s="429"/>
      <c r="T214" s="430"/>
    </row>
    <row r="215" spans="8:20">
      <c r="H215" s="62"/>
      <c r="R215" s="428"/>
      <c r="S215" s="429"/>
      <c r="T215" s="430"/>
    </row>
    <row r="216" spans="8:20">
      <c r="H216" s="62"/>
      <c r="R216" s="428"/>
      <c r="S216" s="429"/>
      <c r="T216" s="430"/>
    </row>
    <row r="217" spans="8:20">
      <c r="H217" s="62"/>
      <c r="R217" s="428"/>
      <c r="S217" s="429"/>
      <c r="T217" s="430"/>
    </row>
    <row r="218" spans="8:20">
      <c r="H218" s="62"/>
      <c r="R218" s="428"/>
      <c r="S218" s="429"/>
      <c r="T218" s="430"/>
    </row>
    <row r="219" spans="8:20">
      <c r="H219" s="62"/>
      <c r="R219" s="428"/>
      <c r="S219" s="429"/>
      <c r="T219" s="430"/>
    </row>
    <row r="220" spans="8:20">
      <c r="H220" s="62"/>
      <c r="R220" s="428"/>
      <c r="S220" s="429"/>
      <c r="T220" s="430"/>
    </row>
    <row r="221" spans="8:20">
      <c r="H221" s="62"/>
      <c r="R221" s="428"/>
      <c r="S221" s="429"/>
      <c r="T221" s="430"/>
    </row>
    <row r="222" spans="8:20">
      <c r="H222" s="62"/>
      <c r="R222" s="428"/>
      <c r="S222" s="429"/>
      <c r="T222" s="430"/>
    </row>
    <row r="223" spans="8:20">
      <c r="H223" s="62"/>
      <c r="R223" s="428"/>
      <c r="S223" s="429"/>
      <c r="T223" s="430"/>
    </row>
    <row r="224" spans="8:20">
      <c r="H224" s="62"/>
      <c r="R224" s="428"/>
      <c r="S224" s="429"/>
      <c r="T224" s="430"/>
    </row>
    <row r="225" spans="8:20">
      <c r="H225" s="62"/>
      <c r="R225" s="428"/>
      <c r="S225" s="429"/>
      <c r="T225" s="430"/>
    </row>
    <row r="226" spans="8:20">
      <c r="H226" s="62"/>
      <c r="R226" s="428"/>
      <c r="S226" s="429"/>
      <c r="T226" s="430"/>
    </row>
    <row r="227" spans="8:20">
      <c r="H227" s="62"/>
      <c r="R227" s="428"/>
      <c r="S227" s="429"/>
      <c r="T227" s="430"/>
    </row>
    <row r="228" spans="8:20">
      <c r="H228" s="62"/>
      <c r="R228" s="428"/>
      <c r="S228" s="429"/>
      <c r="T228" s="430"/>
    </row>
    <row r="229" spans="8:20">
      <c r="H229" s="62"/>
      <c r="R229" s="428"/>
      <c r="S229" s="429"/>
      <c r="T229" s="430"/>
    </row>
    <row r="230" spans="8:20">
      <c r="H230" s="62"/>
      <c r="R230" s="428"/>
      <c r="S230" s="429"/>
      <c r="T230" s="430"/>
    </row>
    <row r="231" spans="8:20">
      <c r="H231" s="62"/>
      <c r="R231" s="428"/>
      <c r="S231" s="429"/>
      <c r="T231" s="430"/>
    </row>
    <row r="232" spans="8:20">
      <c r="H232" s="62"/>
      <c r="R232" s="428"/>
      <c r="S232" s="429"/>
      <c r="T232" s="430"/>
    </row>
    <row r="233" spans="8:20">
      <c r="H233" s="62"/>
      <c r="R233" s="428"/>
      <c r="S233" s="429"/>
      <c r="T233" s="430"/>
    </row>
    <row r="234" spans="8:20">
      <c r="H234" s="62"/>
      <c r="R234" s="428"/>
      <c r="S234" s="429"/>
      <c r="T234" s="430"/>
    </row>
    <row r="235" spans="8:20">
      <c r="H235" s="62"/>
      <c r="R235" s="428"/>
      <c r="S235" s="429"/>
      <c r="T235" s="430"/>
    </row>
    <row r="236" spans="8:20">
      <c r="H236" s="62"/>
      <c r="R236" s="428"/>
      <c r="S236" s="429"/>
      <c r="T236" s="430"/>
    </row>
    <row r="237" spans="8:20">
      <c r="H237" s="62"/>
      <c r="R237" s="428"/>
      <c r="S237" s="429"/>
      <c r="T237" s="430"/>
    </row>
    <row r="238" spans="8:20">
      <c r="H238" s="62"/>
      <c r="R238" s="428"/>
      <c r="S238" s="429"/>
      <c r="T238" s="430"/>
    </row>
    <row r="239" spans="8:20">
      <c r="H239" s="62"/>
      <c r="R239" s="428"/>
      <c r="S239" s="429"/>
      <c r="T239" s="430"/>
    </row>
    <row r="240" spans="8:20">
      <c r="H240" s="62"/>
      <c r="R240" s="428"/>
      <c r="S240" s="429"/>
      <c r="T240" s="430"/>
    </row>
    <row r="241" spans="8:20">
      <c r="H241" s="62"/>
      <c r="R241" s="428"/>
      <c r="S241" s="429"/>
      <c r="T241" s="430"/>
    </row>
    <row r="242" spans="8:20">
      <c r="H242" s="62"/>
      <c r="R242" s="428"/>
      <c r="S242" s="429"/>
      <c r="T242" s="430"/>
    </row>
    <row r="243" spans="8:20">
      <c r="H243" s="62"/>
      <c r="R243" s="428"/>
      <c r="S243" s="429"/>
      <c r="T243" s="430"/>
    </row>
  </sheetData>
  <mergeCells count="5">
    <mergeCell ref="B3:S3"/>
    <mergeCell ref="C12:G12"/>
    <mergeCell ref="H12:Q12"/>
    <mergeCell ref="C13:G13"/>
    <mergeCell ref="H13:Q13"/>
  </mergeCells>
  <printOptions horizontalCentered="1"/>
  <pageMargins left="0.78740157480314965" right="0.59055118110236227" top="0.59055118110236227" bottom="0.59055118110236227" header="0.51181102362204722" footer="0.39370078740157483"/>
  <pageSetup paperSize="9" scale="61" orientation="portrait" horizontalDpi="4294967293" verticalDpi="4294967293" r:id="rId1"/>
  <headerFooter alignWithMargins="0">
    <oddFooter>&amp;C&amp;9&amp;P/&amp;N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  <outlinePr summaryBelow="0" summaryRight="0"/>
  </sheetPr>
  <dimension ref="B3:T278"/>
  <sheetViews>
    <sheetView view="pageBreakPreview" topLeftCell="A12" zoomScale="85" zoomScaleNormal="100" zoomScaleSheetLayoutView="85" workbookViewId="0">
      <selection activeCell="G63" sqref="G63"/>
    </sheetView>
  </sheetViews>
  <sheetFormatPr defaultColWidth="9.21875" defaultRowHeight="15.6"/>
  <cols>
    <col min="1" max="1" width="9.21875" style="31"/>
    <col min="2" max="2" width="4.5546875" style="24" customWidth="1"/>
    <col min="3" max="4" width="4.77734375" style="75" customWidth="1"/>
    <col min="5" max="5" width="10.21875" style="25" customWidth="1"/>
    <col min="6" max="6" width="2" style="24" customWidth="1"/>
    <col min="7" max="7" width="28.77734375" style="26" customWidth="1"/>
    <col min="8" max="8" width="10.21875" style="402" customWidth="1"/>
    <col min="9" max="9" width="3.21875" style="80" customWidth="1"/>
    <col min="10" max="10" width="10.21875" style="62" customWidth="1"/>
    <col min="11" max="11" width="3.21875" style="80" customWidth="1"/>
    <col min="12" max="12" width="10.21875" style="62" customWidth="1"/>
    <col min="13" max="13" width="3.21875" style="80" customWidth="1"/>
    <col min="14" max="14" width="10.21875" style="62" customWidth="1"/>
    <col min="15" max="15" width="3.21875" style="80" customWidth="1"/>
    <col min="16" max="16" width="10.77734375" style="63" customWidth="1"/>
    <col min="17" max="17" width="5.77734375" style="62" customWidth="1"/>
    <col min="18" max="18" width="10.77734375" style="43" customWidth="1"/>
    <col min="19" max="19" width="7.21875" style="69" customWidth="1"/>
    <col min="20" max="16384" width="9.21875" style="31"/>
  </cols>
  <sheetData>
    <row r="3" spans="2:19" s="30" customFormat="1" ht="26.25" customHeight="1">
      <c r="B3" s="1233" t="s">
        <v>389</v>
      </c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1233"/>
      <c r="R3" s="1233"/>
      <c r="S3" s="1233"/>
    </row>
    <row r="4" spans="2:19" s="30" customFormat="1" ht="16.350000000000001" customHeight="1">
      <c r="B4" s="388"/>
      <c r="C4" s="388"/>
      <c r="D4" s="388"/>
      <c r="E4" s="388"/>
      <c r="F4" s="388"/>
      <c r="G4" s="388"/>
      <c r="H4" s="395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</row>
    <row r="5" spans="2:19" s="30" customFormat="1" ht="15" customHeight="1">
      <c r="B5" s="388"/>
      <c r="C5" s="388"/>
      <c r="D5" s="388"/>
      <c r="E5" s="388"/>
      <c r="F5" s="388"/>
      <c r="G5" s="388"/>
      <c r="H5" s="395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2:19" s="30" customFormat="1" ht="19.8" customHeight="1">
      <c r="B6" s="105" t="s">
        <v>384</v>
      </c>
      <c r="C6" s="3"/>
      <c r="D6" s="149"/>
      <c r="E6" s="2"/>
      <c r="F6" s="105" t="s">
        <v>26</v>
      </c>
      <c r="G6" s="105" t="s">
        <v>380</v>
      </c>
      <c r="H6" s="396"/>
      <c r="I6" s="76"/>
      <c r="J6" s="49"/>
      <c r="K6" s="76"/>
      <c r="L6" s="49"/>
      <c r="M6" s="76"/>
      <c r="N6" s="49"/>
      <c r="O6" s="76"/>
      <c r="P6" s="49"/>
      <c r="Q6" s="50"/>
      <c r="R6" s="28"/>
      <c r="S6" s="20"/>
    </row>
    <row r="7" spans="2:19" s="1" customFormat="1" ht="19.8" customHeight="1">
      <c r="B7" s="3" t="s">
        <v>385</v>
      </c>
      <c r="C7" s="3"/>
      <c r="D7" s="149"/>
      <c r="E7" s="2"/>
      <c r="F7" s="105" t="s">
        <v>26</v>
      </c>
      <c r="G7" s="105" t="s">
        <v>377</v>
      </c>
      <c r="H7" s="397"/>
      <c r="I7" s="52"/>
      <c r="J7" s="51"/>
      <c r="K7" s="52"/>
      <c r="L7" s="51"/>
      <c r="M7" s="52"/>
      <c r="N7" s="51"/>
      <c r="O7" s="52"/>
      <c r="P7" s="52"/>
      <c r="Q7" s="51"/>
      <c r="R7" s="38"/>
      <c r="S7" s="64"/>
    </row>
    <row r="8" spans="2:19" s="1" customFormat="1" ht="19.8" customHeight="1">
      <c r="B8" s="3" t="s">
        <v>388</v>
      </c>
      <c r="C8" s="3"/>
      <c r="D8" s="149"/>
      <c r="E8" s="2"/>
      <c r="F8" s="105" t="s">
        <v>26</v>
      </c>
      <c r="G8" s="2" t="s">
        <v>375</v>
      </c>
      <c r="H8" s="397"/>
      <c r="I8" s="52"/>
      <c r="J8" s="51"/>
      <c r="K8" s="52"/>
      <c r="L8" s="51"/>
      <c r="M8" s="52"/>
      <c r="N8" s="51"/>
      <c r="O8" s="52"/>
      <c r="P8" s="52"/>
      <c r="Q8" s="51"/>
      <c r="R8" s="38"/>
      <c r="S8" s="64"/>
    </row>
    <row r="9" spans="2:19" s="1" customFormat="1" ht="19.8" customHeight="1">
      <c r="B9" s="3" t="s">
        <v>386</v>
      </c>
      <c r="C9" s="3"/>
      <c r="D9" s="149"/>
      <c r="E9" s="2"/>
      <c r="F9" s="105" t="s">
        <v>26</v>
      </c>
      <c r="G9" s="347" t="s">
        <v>376</v>
      </c>
      <c r="H9" s="397"/>
      <c r="I9" s="52"/>
      <c r="J9" s="51"/>
      <c r="K9" s="52"/>
      <c r="L9" s="51"/>
      <c r="M9" s="52"/>
      <c r="N9" s="51"/>
      <c r="O9" s="52"/>
      <c r="P9" s="52"/>
      <c r="Q9" s="51"/>
      <c r="R9" s="38"/>
      <c r="S9" s="3"/>
    </row>
    <row r="10" spans="2:19" s="1" customFormat="1" ht="19.8" customHeight="1">
      <c r="B10" s="3" t="s">
        <v>387</v>
      </c>
      <c r="C10" s="3"/>
      <c r="D10" s="149"/>
      <c r="E10" s="2"/>
      <c r="F10" s="105" t="s">
        <v>26</v>
      </c>
      <c r="G10" s="3" t="s">
        <v>348</v>
      </c>
      <c r="H10" s="397"/>
      <c r="I10" s="52"/>
      <c r="J10" s="51"/>
      <c r="K10" s="52"/>
      <c r="L10" s="51"/>
      <c r="M10" s="52"/>
      <c r="N10" s="51"/>
      <c r="O10" s="52"/>
      <c r="P10" s="52"/>
      <c r="Q10" s="51"/>
      <c r="R10" s="38"/>
      <c r="S10" s="3"/>
    </row>
    <row r="11" spans="2:19" s="1" customFormat="1" ht="16.5" customHeight="1" thickBot="1">
      <c r="B11" s="2"/>
      <c r="C11" s="73"/>
      <c r="D11" s="73"/>
      <c r="E11" s="3"/>
      <c r="F11" s="2"/>
      <c r="G11" s="18"/>
      <c r="H11" s="397"/>
      <c r="I11" s="52"/>
      <c r="J11" s="51"/>
      <c r="K11" s="52"/>
      <c r="L11" s="51"/>
      <c r="M11" s="52"/>
      <c r="N11" s="51"/>
      <c r="O11" s="52"/>
      <c r="P11" s="53"/>
      <c r="Q11" s="51"/>
      <c r="R11" s="39"/>
      <c r="S11" s="65"/>
    </row>
    <row r="12" spans="2:19" s="34" customFormat="1" ht="38.25" customHeight="1" thickTop="1">
      <c r="B12" s="150" t="s">
        <v>0</v>
      </c>
      <c r="C12" s="1241" t="s">
        <v>24</v>
      </c>
      <c r="D12" s="1242"/>
      <c r="E12" s="1242"/>
      <c r="F12" s="1242"/>
      <c r="G12" s="1243"/>
      <c r="H12" s="1234" t="s">
        <v>68</v>
      </c>
      <c r="I12" s="1235"/>
      <c r="J12" s="1235"/>
      <c r="K12" s="1235"/>
      <c r="L12" s="1235"/>
      <c r="M12" s="1235"/>
      <c r="N12" s="1235"/>
      <c r="O12" s="1235"/>
      <c r="P12" s="1235"/>
      <c r="Q12" s="1235"/>
      <c r="R12" s="338" t="s">
        <v>54</v>
      </c>
      <c r="S12" s="151" t="s">
        <v>40</v>
      </c>
    </row>
    <row r="13" spans="2:19" s="1" customFormat="1" ht="16.5" customHeight="1" thickBot="1">
      <c r="B13" s="335" t="s">
        <v>9</v>
      </c>
      <c r="C13" s="1244" t="s">
        <v>10</v>
      </c>
      <c r="D13" s="1245"/>
      <c r="E13" s="1245"/>
      <c r="F13" s="1245"/>
      <c r="G13" s="1246"/>
      <c r="H13" s="1239" t="s">
        <v>11</v>
      </c>
      <c r="I13" s="1240"/>
      <c r="J13" s="1240"/>
      <c r="K13" s="1240"/>
      <c r="L13" s="1240"/>
      <c r="M13" s="1240"/>
      <c r="N13" s="1240"/>
      <c r="O13" s="1240"/>
      <c r="P13" s="1240"/>
      <c r="Q13" s="1240"/>
      <c r="R13" s="336" t="s">
        <v>12</v>
      </c>
      <c r="S13" s="337" t="s">
        <v>13</v>
      </c>
    </row>
    <row r="14" spans="2:19" s="1" customFormat="1" ht="16.5" customHeight="1" thickTop="1">
      <c r="B14" s="4"/>
      <c r="C14" s="74"/>
      <c r="D14" s="377"/>
      <c r="E14" s="19"/>
      <c r="F14" s="5"/>
      <c r="G14" s="21"/>
      <c r="H14" s="398"/>
      <c r="I14" s="77"/>
      <c r="J14" s="54"/>
      <c r="K14" s="77"/>
      <c r="L14" s="54"/>
      <c r="M14" s="77"/>
      <c r="N14" s="54"/>
      <c r="O14" s="77"/>
      <c r="P14" s="55"/>
      <c r="Q14" s="56"/>
      <c r="R14" s="40"/>
      <c r="S14" s="66"/>
    </row>
    <row r="15" spans="2:19" s="464" customFormat="1" ht="19.350000000000001" customHeight="1">
      <c r="B15" s="468" t="str">
        <f>RAB!B233</f>
        <v>F</v>
      </c>
      <c r="C15" s="469" t="str">
        <f>RAB!C233</f>
        <v>PEKERJAAN KAMAR MANDI LANTAI 2</v>
      </c>
      <c r="D15" s="470"/>
      <c r="E15" s="471"/>
      <c r="F15" s="471"/>
      <c r="G15" s="472"/>
      <c r="H15" s="473"/>
      <c r="I15" s="474"/>
      <c r="J15" s="475"/>
      <c r="K15" s="474"/>
      <c r="L15" s="475"/>
      <c r="M15" s="474"/>
      <c r="N15" s="475"/>
      <c r="O15" s="476"/>
      <c r="P15" s="476"/>
      <c r="Q15" s="476"/>
      <c r="R15" s="477"/>
      <c r="S15" s="478"/>
    </row>
    <row r="16" spans="2:19" s="1" customFormat="1" ht="16.5" customHeight="1">
      <c r="B16" s="381"/>
      <c r="C16" s="465" t="str">
        <f>RAB!C234</f>
        <v>F.1</v>
      </c>
      <c r="D16" s="382" t="str">
        <f>RAB!D234</f>
        <v>PEKERJAAN KAMAR MANDI - A</v>
      </c>
      <c r="E16" s="383"/>
      <c r="F16" s="383"/>
      <c r="G16" s="384"/>
      <c r="H16" s="400"/>
      <c r="I16" s="385"/>
      <c r="J16" s="389"/>
      <c r="K16" s="385"/>
      <c r="L16" s="389"/>
      <c r="M16" s="385"/>
      <c r="N16" s="389"/>
      <c r="O16" s="385"/>
      <c r="P16" s="466"/>
      <c r="Q16" s="467"/>
      <c r="R16" s="386"/>
      <c r="S16" s="387"/>
    </row>
    <row r="17" spans="2:19" s="1" customFormat="1" ht="16.5" customHeight="1">
      <c r="B17" s="35"/>
      <c r="C17" s="48"/>
      <c r="D17" s="378">
        <f>RAB!D236</f>
        <v>1</v>
      </c>
      <c r="E17" s="8" t="str">
        <f>RAB!E236</f>
        <v>Pekerjaan Bongkaran</v>
      </c>
      <c r="F17" s="9"/>
      <c r="G17" s="36"/>
      <c r="H17" s="399"/>
      <c r="I17" s="78"/>
      <c r="J17" s="57"/>
      <c r="K17" s="78"/>
      <c r="L17" s="57"/>
      <c r="M17" s="78"/>
      <c r="N17" s="57"/>
      <c r="O17" s="78"/>
      <c r="P17" s="61"/>
      <c r="Q17" s="59"/>
      <c r="R17" s="41">
        <v>1</v>
      </c>
      <c r="S17" s="67" t="s">
        <v>20</v>
      </c>
    </row>
    <row r="18" spans="2:19" s="1" customFormat="1" ht="16.5" customHeight="1">
      <c r="B18" s="35"/>
      <c r="C18" s="48"/>
      <c r="D18" s="378">
        <f>RAB!D237</f>
        <v>2</v>
      </c>
      <c r="E18" s="8" t="str">
        <f>RAB!E237</f>
        <v>Pekerjaan Pembersihan</v>
      </c>
      <c r="F18" s="9"/>
      <c r="G18" s="36"/>
      <c r="H18" s="399"/>
      <c r="I18" s="78"/>
      <c r="J18" s="57"/>
      <c r="K18" s="78"/>
      <c r="L18" s="57"/>
      <c r="M18" s="78"/>
      <c r="N18" s="57"/>
      <c r="O18" s="78"/>
      <c r="P18" s="61"/>
      <c r="Q18" s="59"/>
      <c r="R18" s="41">
        <v>1</v>
      </c>
      <c r="S18" s="67" t="s">
        <v>20</v>
      </c>
    </row>
    <row r="19" spans="2:19" s="1" customFormat="1" ht="16.5" customHeight="1">
      <c r="B19" s="35"/>
      <c r="C19" s="48"/>
      <c r="D19" s="378"/>
      <c r="E19" s="8"/>
      <c r="F19" s="9"/>
      <c r="G19" s="36"/>
      <c r="H19" s="399"/>
      <c r="I19" s="78"/>
      <c r="J19" s="57"/>
      <c r="K19" s="78"/>
      <c r="L19" s="57"/>
      <c r="M19" s="78"/>
      <c r="N19" s="57"/>
      <c r="O19" s="78"/>
      <c r="P19" s="61"/>
      <c r="Q19" s="59"/>
      <c r="R19" s="41"/>
      <c r="S19" s="67"/>
    </row>
    <row r="20" spans="2:19" s="1" customFormat="1" ht="16.5" customHeight="1">
      <c r="B20" s="35"/>
      <c r="C20" s="48"/>
      <c r="D20" s="378" t="str">
        <f>RAB!D239</f>
        <v>PEKERJAAN LANTAI</v>
      </c>
      <c r="E20" s="8"/>
      <c r="F20" s="9"/>
      <c r="G20" s="36"/>
      <c r="H20" s="399"/>
      <c r="I20" s="78"/>
      <c r="J20" s="57"/>
      <c r="K20" s="78"/>
      <c r="L20" s="57"/>
      <c r="M20" s="78"/>
      <c r="N20" s="57"/>
      <c r="O20" s="78"/>
      <c r="P20" s="61"/>
      <c r="Q20" s="59"/>
      <c r="R20" s="41"/>
      <c r="S20" s="67"/>
    </row>
    <row r="21" spans="2:19" s="1" customFormat="1" ht="16.5" customHeight="1">
      <c r="B21" s="35"/>
      <c r="C21" s="48"/>
      <c r="D21" s="378">
        <f>RAB!D240</f>
        <v>1</v>
      </c>
      <c r="E21" s="8" t="str">
        <f>RAB!E240</f>
        <v>Sisip Lantai Keramik Existing</v>
      </c>
      <c r="F21" s="9"/>
      <c r="G21" s="36"/>
      <c r="H21" s="399"/>
      <c r="I21" s="78"/>
      <c r="J21" s="57"/>
      <c r="K21" s="78"/>
      <c r="L21" s="57"/>
      <c r="M21" s="78"/>
      <c r="N21" s="57"/>
      <c r="O21" s="78"/>
      <c r="P21" s="61"/>
      <c r="Q21" s="59"/>
      <c r="R21" s="41">
        <f>P30*0.3</f>
        <v>22.545000000000002</v>
      </c>
      <c r="S21" s="67" t="s">
        <v>133</v>
      </c>
    </row>
    <row r="22" spans="2:19" s="1" customFormat="1" ht="16.5" customHeight="1">
      <c r="B22" s="35"/>
      <c r="C22" s="48"/>
      <c r="D22" s="378"/>
      <c r="E22" s="8"/>
      <c r="F22" s="9"/>
      <c r="G22" s="23"/>
      <c r="H22" s="392" t="s">
        <v>428</v>
      </c>
      <c r="I22" s="460"/>
      <c r="J22" s="461" t="s">
        <v>52</v>
      </c>
      <c r="K22" s="78"/>
      <c r="L22" s="57"/>
      <c r="M22" s="78"/>
      <c r="N22" s="57"/>
      <c r="O22" s="79"/>
      <c r="P22" s="61"/>
      <c r="Q22" s="59"/>
      <c r="R22" s="41"/>
      <c r="S22" s="67"/>
    </row>
    <row r="23" spans="2:19" s="1" customFormat="1" ht="16.5" customHeight="1">
      <c r="B23" s="35"/>
      <c r="C23" s="48"/>
      <c r="D23" s="378"/>
      <c r="E23" s="8"/>
      <c r="F23" s="9"/>
      <c r="G23" s="23" t="s">
        <v>516</v>
      </c>
      <c r="H23" s="392">
        <v>30.95</v>
      </c>
      <c r="I23" s="460" t="s">
        <v>49</v>
      </c>
      <c r="J23" s="461">
        <v>1</v>
      </c>
      <c r="K23" s="78"/>
      <c r="L23" s="57"/>
      <c r="M23" s="78"/>
      <c r="N23" s="57"/>
      <c r="O23" s="78" t="s">
        <v>50</v>
      </c>
      <c r="P23" s="58">
        <f>H23*J23</f>
        <v>30.95</v>
      </c>
      <c r="Q23" s="59" t="s">
        <v>133</v>
      </c>
      <c r="R23" s="41"/>
      <c r="S23" s="67"/>
    </row>
    <row r="24" spans="2:19" s="1" customFormat="1" ht="16.5" customHeight="1">
      <c r="B24" s="35"/>
      <c r="C24" s="48"/>
      <c r="D24" s="378"/>
      <c r="E24" s="8"/>
      <c r="F24" s="9"/>
      <c r="G24" s="36" t="s">
        <v>514</v>
      </c>
      <c r="H24" s="392">
        <v>1.5</v>
      </c>
      <c r="I24" s="460" t="s">
        <v>49</v>
      </c>
      <c r="J24" s="461">
        <v>3</v>
      </c>
      <c r="K24" s="78"/>
      <c r="L24" s="57"/>
      <c r="M24" s="78"/>
      <c r="N24" s="57"/>
      <c r="O24" s="78" t="s">
        <v>50</v>
      </c>
      <c r="P24" s="58">
        <f>H24*J24</f>
        <v>4.5</v>
      </c>
      <c r="Q24" s="59" t="s">
        <v>133</v>
      </c>
      <c r="R24" s="41"/>
      <c r="S24" s="67"/>
    </row>
    <row r="25" spans="2:19" s="1" customFormat="1" ht="16.5" customHeight="1">
      <c r="B25" s="35"/>
      <c r="C25" s="48"/>
      <c r="D25" s="378"/>
      <c r="E25" s="8"/>
      <c r="F25" s="9"/>
      <c r="G25" s="36" t="s">
        <v>515</v>
      </c>
      <c r="H25" s="392">
        <v>1.8</v>
      </c>
      <c r="I25" s="460" t="s">
        <v>49</v>
      </c>
      <c r="J25" s="461">
        <v>2</v>
      </c>
      <c r="K25" s="78"/>
      <c r="L25" s="57"/>
      <c r="M25" s="78"/>
      <c r="N25" s="57"/>
      <c r="O25" s="78" t="s">
        <v>50</v>
      </c>
      <c r="P25" s="58">
        <f>H25*J25</f>
        <v>3.6</v>
      </c>
      <c r="Q25" s="59" t="s">
        <v>133</v>
      </c>
      <c r="R25" s="41"/>
      <c r="S25" s="67"/>
    </row>
    <row r="26" spans="2:19" s="1" customFormat="1" ht="16.5" customHeight="1">
      <c r="B26" s="35"/>
      <c r="C26" s="48"/>
      <c r="D26" s="378"/>
      <c r="E26" s="8"/>
      <c r="F26" s="9"/>
      <c r="G26" s="36"/>
      <c r="H26" s="399"/>
      <c r="I26" s="78"/>
      <c r="J26" s="57"/>
      <c r="K26" s="78"/>
      <c r="L26" s="57"/>
      <c r="M26" s="78"/>
      <c r="N26" s="57"/>
      <c r="O26" s="78"/>
      <c r="P26" s="61"/>
      <c r="Q26" s="59"/>
      <c r="R26" s="41"/>
      <c r="S26" s="67"/>
    </row>
    <row r="27" spans="2:19" s="1" customFormat="1" ht="16.5" customHeight="1">
      <c r="B27" s="35"/>
      <c r="C27" s="48"/>
      <c r="D27" s="378"/>
      <c r="E27" s="8"/>
      <c r="F27" s="9"/>
      <c r="G27" s="23" t="s">
        <v>513</v>
      </c>
      <c r="H27" s="392">
        <v>29.5</v>
      </c>
      <c r="I27" s="460" t="s">
        <v>49</v>
      </c>
      <c r="J27" s="461">
        <v>1</v>
      </c>
      <c r="K27" s="78"/>
      <c r="L27" s="57"/>
      <c r="M27" s="78"/>
      <c r="N27" s="57"/>
      <c r="O27" s="78" t="s">
        <v>50</v>
      </c>
      <c r="P27" s="58">
        <f>H27*J27</f>
        <v>29.5</v>
      </c>
      <c r="Q27" s="59" t="s">
        <v>133</v>
      </c>
      <c r="R27" s="41"/>
      <c r="S27" s="67"/>
    </row>
    <row r="28" spans="2:19" s="1" customFormat="1" ht="16.5" customHeight="1">
      <c r="B28" s="35"/>
      <c r="C28" s="48"/>
      <c r="D28" s="378"/>
      <c r="E28" s="8"/>
      <c r="F28" s="9"/>
      <c r="G28" s="36" t="s">
        <v>514</v>
      </c>
      <c r="H28" s="392">
        <v>1.5</v>
      </c>
      <c r="I28" s="460" t="s">
        <v>49</v>
      </c>
      <c r="J28" s="461">
        <v>2</v>
      </c>
      <c r="K28" s="78"/>
      <c r="L28" s="57"/>
      <c r="M28" s="78"/>
      <c r="N28" s="57"/>
      <c r="O28" s="78" t="s">
        <v>50</v>
      </c>
      <c r="P28" s="58">
        <f>H28*J28</f>
        <v>3</v>
      </c>
      <c r="Q28" s="59" t="s">
        <v>133</v>
      </c>
      <c r="R28" s="41"/>
      <c r="S28" s="67"/>
    </row>
    <row r="29" spans="2:19" s="1" customFormat="1" ht="16.5" customHeight="1">
      <c r="B29" s="35"/>
      <c r="C29" s="48"/>
      <c r="D29" s="378"/>
      <c r="E29" s="8"/>
      <c r="F29" s="9"/>
      <c r="G29" s="36" t="s">
        <v>515</v>
      </c>
      <c r="H29" s="392">
        <v>1.8</v>
      </c>
      <c r="I29" s="460" t="s">
        <v>49</v>
      </c>
      <c r="J29" s="461">
        <v>2</v>
      </c>
      <c r="K29" s="78"/>
      <c r="L29" s="57"/>
      <c r="M29" s="78"/>
      <c r="N29" s="57"/>
      <c r="O29" s="78" t="s">
        <v>50</v>
      </c>
      <c r="P29" s="58">
        <f>H29*J29</f>
        <v>3.6</v>
      </c>
      <c r="Q29" s="59" t="s">
        <v>133</v>
      </c>
      <c r="R29" s="41"/>
      <c r="S29" s="67"/>
    </row>
    <row r="30" spans="2:19" s="1" customFormat="1" ht="16.5" customHeight="1">
      <c r="B30" s="35"/>
      <c r="C30" s="48"/>
      <c r="D30" s="378"/>
      <c r="E30" s="8"/>
      <c r="F30" s="9"/>
      <c r="G30" s="36"/>
      <c r="H30" s="399"/>
      <c r="I30" s="78"/>
      <c r="J30" s="57"/>
      <c r="K30" s="78"/>
      <c r="L30" s="57"/>
      <c r="M30" s="78"/>
      <c r="N30" s="57"/>
      <c r="O30" s="78" t="s">
        <v>50</v>
      </c>
      <c r="P30" s="61">
        <f>SUM(P23:P29)</f>
        <v>75.150000000000006</v>
      </c>
      <c r="Q30" s="413" t="s">
        <v>133</v>
      </c>
      <c r="R30" s="41"/>
      <c r="S30" s="67"/>
    </row>
    <row r="31" spans="2:19" s="1" customFormat="1" ht="16.5" customHeight="1">
      <c r="B31" s="35"/>
      <c r="C31" s="48"/>
      <c r="D31" s="378"/>
      <c r="E31" s="8"/>
      <c r="F31" s="9"/>
      <c r="G31" s="36"/>
      <c r="H31" s="399"/>
      <c r="I31" s="78"/>
      <c r="J31" s="57"/>
      <c r="K31" s="78"/>
      <c r="L31" s="57"/>
      <c r="M31" s="78"/>
      <c r="N31" s="57"/>
      <c r="O31" s="78"/>
      <c r="P31" s="61"/>
      <c r="Q31" s="59"/>
      <c r="R31" s="41"/>
      <c r="S31" s="67"/>
    </row>
    <row r="32" spans="2:19" s="1" customFormat="1" ht="16.5" customHeight="1">
      <c r="B32" s="35"/>
      <c r="C32" s="48"/>
      <c r="D32" s="378">
        <f>RAB!D241</f>
        <v>2</v>
      </c>
      <c r="E32" s="8" t="str">
        <f>RAB!E241</f>
        <v xml:space="preserve">Sisip Keramik Dinding </v>
      </c>
      <c r="F32" s="9"/>
      <c r="G32" s="36"/>
      <c r="H32" s="399"/>
      <c r="I32" s="78"/>
      <c r="J32" s="57"/>
      <c r="K32" s="78"/>
      <c r="L32" s="57"/>
      <c r="M32" s="78"/>
      <c r="N32" s="57"/>
      <c r="O32" s="78"/>
      <c r="P32" s="61"/>
      <c r="Q32" s="59"/>
      <c r="R32" s="41">
        <f>P34</f>
        <v>15</v>
      </c>
      <c r="S32" s="67" t="s">
        <v>133</v>
      </c>
    </row>
    <row r="33" spans="2:19" s="1" customFormat="1" ht="16.5" customHeight="1">
      <c r="B33" s="35"/>
      <c r="C33" s="48"/>
      <c r="D33" s="378"/>
      <c r="E33" s="8"/>
      <c r="F33" s="9"/>
      <c r="G33" s="36"/>
      <c r="H33" s="392" t="s">
        <v>408</v>
      </c>
      <c r="I33" s="460"/>
      <c r="J33" s="461" t="s">
        <v>226</v>
      </c>
      <c r="K33" s="78"/>
      <c r="L33" s="57"/>
      <c r="M33" s="78"/>
      <c r="N33" s="57"/>
      <c r="O33" s="79"/>
      <c r="P33" s="61"/>
      <c r="Q33" s="59"/>
      <c r="R33" s="41"/>
      <c r="S33" s="67"/>
    </row>
    <row r="34" spans="2:19" s="1" customFormat="1" ht="16.5" customHeight="1">
      <c r="B34" s="35"/>
      <c r="C34" s="48"/>
      <c r="D34" s="378"/>
      <c r="E34" s="8"/>
      <c r="F34" s="9"/>
      <c r="G34" s="36"/>
      <c r="H34" s="392">
        <v>5</v>
      </c>
      <c r="I34" s="460" t="s">
        <v>49</v>
      </c>
      <c r="J34" s="461">
        <v>3</v>
      </c>
      <c r="K34" s="78"/>
      <c r="L34" s="57"/>
      <c r="M34" s="78"/>
      <c r="N34" s="57"/>
      <c r="O34" s="78" t="s">
        <v>50</v>
      </c>
      <c r="P34" s="61">
        <f>H34*J34</f>
        <v>15</v>
      </c>
      <c r="Q34" s="413" t="s">
        <v>133</v>
      </c>
      <c r="R34" s="41"/>
      <c r="S34" s="67"/>
    </row>
    <row r="35" spans="2:19" s="1" customFormat="1" ht="16.5" customHeight="1">
      <c r="B35" s="35"/>
      <c r="C35" s="48"/>
      <c r="D35" s="378"/>
      <c r="E35" s="8"/>
      <c r="F35" s="9"/>
      <c r="G35" s="36"/>
      <c r="H35" s="399"/>
      <c r="I35" s="78"/>
      <c r="J35" s="57"/>
      <c r="K35" s="78"/>
      <c r="L35" s="57"/>
      <c r="M35" s="78"/>
      <c r="N35" s="57"/>
      <c r="O35" s="78"/>
      <c r="P35" s="61"/>
      <c r="Q35" s="59"/>
      <c r="R35" s="41"/>
      <c r="S35" s="67"/>
    </row>
    <row r="36" spans="2:19" s="1" customFormat="1" ht="16.5" customHeight="1">
      <c r="B36" s="35"/>
      <c r="C36" s="48"/>
      <c r="D36" s="378">
        <f>RAB!D242</f>
        <v>3</v>
      </c>
      <c r="E36" s="8" t="str">
        <f>RAB!E242</f>
        <v>Waterprofing Lantai</v>
      </c>
      <c r="F36" s="9"/>
      <c r="G36" s="36"/>
      <c r="H36" s="399"/>
      <c r="I36" s="78"/>
      <c r="J36" s="57"/>
      <c r="K36" s="78"/>
      <c r="L36" s="57"/>
      <c r="M36" s="78"/>
      <c r="N36" s="57"/>
      <c r="O36" s="78"/>
      <c r="P36" s="61"/>
      <c r="Q36" s="59"/>
      <c r="R36" s="41">
        <f>R21</f>
        <v>22.545000000000002</v>
      </c>
      <c r="S36" s="67" t="s">
        <v>133</v>
      </c>
    </row>
    <row r="37" spans="2:19" s="1" customFormat="1" ht="16.5" customHeight="1">
      <c r="B37" s="35"/>
      <c r="C37" s="48"/>
      <c r="D37" s="378"/>
      <c r="E37" s="8"/>
      <c r="F37" s="9"/>
      <c r="G37" s="36"/>
      <c r="H37" s="399"/>
      <c r="I37" s="78"/>
      <c r="J37" s="57"/>
      <c r="K37" s="78"/>
      <c r="L37" s="57"/>
      <c r="M37" s="78"/>
      <c r="N37" s="57"/>
      <c r="O37" s="78"/>
      <c r="P37" s="61"/>
      <c r="Q37" s="59"/>
      <c r="R37" s="41"/>
      <c r="S37" s="67"/>
    </row>
    <row r="38" spans="2:19" s="1" customFormat="1" ht="16.5" customHeight="1">
      <c r="B38" s="35"/>
      <c r="C38" s="48"/>
      <c r="D38" s="378" t="str">
        <f>RAB!D244</f>
        <v>PEKERJAAN INSTALASI LISTRIK</v>
      </c>
      <c r="E38" s="8"/>
      <c r="F38" s="9"/>
      <c r="G38" s="36"/>
      <c r="H38" s="399"/>
      <c r="I38" s="78"/>
      <c r="J38" s="57"/>
      <c r="K38" s="78"/>
      <c r="L38" s="57"/>
      <c r="M38" s="78"/>
      <c r="N38" s="57"/>
      <c r="O38" s="78"/>
      <c r="P38" s="61"/>
      <c r="Q38" s="59"/>
      <c r="R38" s="41"/>
      <c r="S38" s="67"/>
    </row>
    <row r="39" spans="2:19" s="1" customFormat="1" ht="16.5" customHeight="1">
      <c r="B39" s="35"/>
      <c r="C39" s="48"/>
      <c r="D39" s="378">
        <f>RAB!D246</f>
        <v>2</v>
      </c>
      <c r="E39" s="8" t="str">
        <f>RAB!E246</f>
        <v>Lampu LED 7 watt + Fitting Downlight</v>
      </c>
      <c r="F39" s="9"/>
      <c r="G39" s="36"/>
      <c r="H39" s="399"/>
      <c r="I39" s="78"/>
      <c r="J39" s="57"/>
      <c r="K39" s="78"/>
      <c r="L39" s="57"/>
      <c r="M39" s="78"/>
      <c r="N39" s="57"/>
      <c r="O39" s="78"/>
      <c r="P39" s="61"/>
      <c r="Q39" s="59"/>
      <c r="R39" s="41">
        <v>19</v>
      </c>
      <c r="S39" s="67" t="s">
        <v>62</v>
      </c>
    </row>
    <row r="40" spans="2:19" s="1" customFormat="1" ht="16.5" customHeight="1">
      <c r="B40" s="35"/>
      <c r="C40" s="48"/>
      <c r="D40" s="378"/>
      <c r="E40" s="8"/>
      <c r="F40" s="9"/>
      <c r="G40" s="36"/>
      <c r="H40" s="399"/>
      <c r="I40" s="78"/>
      <c r="J40" s="57"/>
      <c r="K40" s="78"/>
      <c r="L40" s="57"/>
      <c r="M40" s="78"/>
      <c r="N40" s="57"/>
      <c r="O40" s="78"/>
      <c r="P40" s="61"/>
      <c r="Q40" s="59"/>
      <c r="R40" s="41"/>
      <c r="S40" s="67"/>
    </row>
    <row r="41" spans="2:19" s="1" customFormat="1" ht="16.5" customHeight="1">
      <c r="B41" s="35"/>
      <c r="C41" s="48"/>
      <c r="D41" s="378" t="str">
        <f>RAB!D248</f>
        <v>PEKERJAAN SANITAIR</v>
      </c>
      <c r="E41" s="8"/>
      <c r="F41" s="9"/>
      <c r="G41" s="36"/>
      <c r="H41" s="399"/>
      <c r="I41" s="78"/>
      <c r="J41" s="57"/>
      <c r="K41" s="78"/>
      <c r="L41" s="57"/>
      <c r="M41" s="78"/>
      <c r="N41" s="57"/>
      <c r="O41" s="78"/>
      <c r="P41" s="61"/>
      <c r="Q41" s="59"/>
      <c r="R41" s="41"/>
      <c r="S41" s="67"/>
    </row>
    <row r="42" spans="2:19" s="1" customFormat="1" ht="16.5" customHeight="1">
      <c r="B42" s="35"/>
      <c r="C42" s="48"/>
      <c r="D42" s="378">
        <f>RAB!D254</f>
        <v>1</v>
      </c>
      <c r="E42" s="8" t="str">
        <f>RAB!E254</f>
        <v>Pipa Air Bersih PVC Dia. 1/2"</v>
      </c>
      <c r="F42" s="9"/>
      <c r="G42" s="36"/>
      <c r="H42" s="399"/>
      <c r="I42" s="78"/>
      <c r="J42" s="57"/>
      <c r="K42" s="78"/>
      <c r="L42" s="57"/>
      <c r="M42" s="78"/>
      <c r="N42" s="57"/>
      <c r="O42" s="78"/>
      <c r="P42" s="61"/>
      <c r="Q42" s="59"/>
      <c r="R42" s="41">
        <v>25</v>
      </c>
      <c r="S42" s="67" t="s">
        <v>21</v>
      </c>
    </row>
    <row r="43" spans="2:19" s="1" customFormat="1" ht="16.5" customHeight="1">
      <c r="B43" s="35"/>
      <c r="C43" s="48"/>
      <c r="D43" s="378">
        <f>RAB!D249</f>
        <v>1</v>
      </c>
      <c r="E43" s="8" t="str">
        <f>RAB!E249</f>
        <v>Kran Air Stainless 1/2"</v>
      </c>
      <c r="F43" s="9"/>
      <c r="G43" s="36"/>
      <c r="H43" s="399"/>
      <c r="I43" s="78"/>
      <c r="J43" s="57"/>
      <c r="K43" s="78"/>
      <c r="L43" s="57"/>
      <c r="M43" s="78"/>
      <c r="N43" s="57"/>
      <c r="O43" s="78"/>
      <c r="P43" s="61"/>
      <c r="Q43" s="59"/>
      <c r="R43" s="41">
        <v>9</v>
      </c>
      <c r="S43" s="67" t="s">
        <v>62</v>
      </c>
    </row>
    <row r="44" spans="2:19" s="1" customFormat="1" ht="16.5" customHeight="1">
      <c r="B44" s="35"/>
      <c r="C44" s="48"/>
      <c r="D44" s="378">
        <f>RAB!D250</f>
        <v>2</v>
      </c>
      <c r="E44" s="8" t="str">
        <f>RAB!E250</f>
        <v>Push Kran Urinoir</v>
      </c>
      <c r="F44" s="9"/>
      <c r="G44" s="36"/>
      <c r="H44" s="399"/>
      <c r="I44" s="78"/>
      <c r="J44" s="57"/>
      <c r="K44" s="78"/>
      <c r="L44" s="57"/>
      <c r="M44" s="78"/>
      <c r="N44" s="57"/>
      <c r="O44" s="78"/>
      <c r="P44" s="61"/>
      <c r="Q44" s="59"/>
      <c r="R44" s="41">
        <v>8</v>
      </c>
      <c r="S44" s="67" t="s">
        <v>62</v>
      </c>
    </row>
    <row r="45" spans="2:19" s="1" customFormat="1" ht="16.5" customHeight="1">
      <c r="B45" s="35"/>
      <c r="C45" s="48"/>
      <c r="D45" s="378">
        <f>RAB!D251</f>
        <v>3</v>
      </c>
      <c r="E45" s="8" t="str">
        <f>RAB!E251</f>
        <v>Floordrain</v>
      </c>
      <c r="F45" s="9"/>
      <c r="G45" s="36"/>
      <c r="H45" s="399"/>
      <c r="I45" s="78"/>
      <c r="J45" s="57"/>
      <c r="K45" s="78"/>
      <c r="L45" s="57"/>
      <c r="M45" s="78"/>
      <c r="N45" s="57"/>
      <c r="O45" s="78"/>
      <c r="P45" s="61"/>
      <c r="Q45" s="59"/>
      <c r="R45" s="41">
        <v>9</v>
      </c>
      <c r="S45" s="67" t="s">
        <v>62</v>
      </c>
    </row>
    <row r="46" spans="2:19" s="1" customFormat="1" ht="16.5" customHeight="1">
      <c r="B46" s="35"/>
      <c r="C46" s="48"/>
      <c r="D46" s="378"/>
      <c r="E46" s="8"/>
      <c r="F46" s="9"/>
      <c r="G46" s="36"/>
      <c r="H46" s="399"/>
      <c r="I46" s="78"/>
      <c r="J46" s="57"/>
      <c r="K46" s="78"/>
      <c r="L46" s="57"/>
      <c r="M46" s="78"/>
      <c r="N46" s="57"/>
      <c r="O46" s="78"/>
      <c r="P46" s="61"/>
      <c r="Q46" s="59"/>
      <c r="R46" s="41"/>
      <c r="S46" s="67"/>
    </row>
    <row r="47" spans="2:19" s="1" customFormat="1" ht="16.5" customHeight="1">
      <c r="B47" s="35"/>
      <c r="C47" s="48"/>
      <c r="D47" s="378" t="str">
        <f>RAB!D261</f>
        <v xml:space="preserve">PEKERJAAN PINTU </v>
      </c>
      <c r="E47" s="8"/>
      <c r="F47" s="9"/>
      <c r="G47" s="36"/>
      <c r="H47" s="399"/>
      <c r="I47" s="78"/>
      <c r="J47" s="57"/>
      <c r="K47" s="78"/>
      <c r="L47" s="57"/>
      <c r="M47" s="78"/>
      <c r="N47" s="57"/>
      <c r="O47" s="78"/>
      <c r="P47" s="61"/>
      <c r="Q47" s="59"/>
      <c r="R47" s="41"/>
      <c r="S47" s="67"/>
    </row>
    <row r="48" spans="2:19" s="1" customFormat="1" ht="16.5" customHeight="1">
      <c r="B48" s="35"/>
      <c r="C48" s="48"/>
      <c r="D48" s="378">
        <f>RAB!D262</f>
        <v>1</v>
      </c>
      <c r="E48" s="8" t="str">
        <f>RAB!E262</f>
        <v>Pas. Kunci Tanam</v>
      </c>
      <c r="F48" s="9"/>
      <c r="G48" s="36"/>
      <c r="H48" s="399"/>
      <c r="I48" s="78"/>
      <c r="J48" s="57"/>
      <c r="K48" s="78"/>
      <c r="L48" s="57"/>
      <c r="M48" s="78"/>
      <c r="N48" s="57"/>
      <c r="O48" s="78"/>
      <c r="P48" s="61"/>
      <c r="Q48" s="59"/>
      <c r="R48" s="41">
        <v>2</v>
      </c>
      <c r="S48" s="67" t="s">
        <v>62</v>
      </c>
    </row>
    <row r="49" spans="2:19" s="1" customFormat="1" ht="16.5" customHeight="1">
      <c r="B49" s="35"/>
      <c r="C49" s="48"/>
      <c r="D49" s="378">
        <f>RAB!D263</f>
        <v>2</v>
      </c>
      <c r="E49" s="8" t="str">
        <f>RAB!E263</f>
        <v>Pas. Pintu Toilet Aluminium</v>
      </c>
      <c r="F49" s="9"/>
      <c r="G49" s="36"/>
      <c r="H49" s="399"/>
      <c r="I49" s="78"/>
      <c r="J49" s="57"/>
      <c r="K49" s="78"/>
      <c r="L49" s="57"/>
      <c r="M49" s="78"/>
      <c r="N49" s="57"/>
      <c r="O49" s="78"/>
      <c r="P49" s="61"/>
      <c r="Q49" s="59"/>
      <c r="R49" s="41">
        <v>9</v>
      </c>
      <c r="S49" s="67" t="s">
        <v>62</v>
      </c>
    </row>
    <row r="50" spans="2:19" s="1" customFormat="1" ht="16.5" customHeight="1">
      <c r="B50" s="35"/>
      <c r="C50" s="48"/>
      <c r="D50" s="378"/>
      <c r="E50" s="8"/>
      <c r="F50" s="9"/>
      <c r="G50" s="36"/>
      <c r="H50" s="399"/>
      <c r="I50" s="78"/>
      <c r="J50" s="57"/>
      <c r="K50" s="78"/>
      <c r="L50" s="57"/>
      <c r="M50" s="78"/>
      <c r="N50" s="57"/>
      <c r="O50" s="78"/>
      <c r="P50" s="61"/>
      <c r="Q50" s="59"/>
      <c r="R50" s="41"/>
      <c r="S50" s="67"/>
    </row>
    <row r="51" spans="2:19" s="1" customFormat="1" ht="16.5" customHeight="1">
      <c r="B51" s="35"/>
      <c r="C51" s="48"/>
      <c r="D51" s="378" t="str">
        <f>RAB!D265</f>
        <v>PEKERJAAN PENGECATAN</v>
      </c>
      <c r="E51" s="8"/>
      <c r="F51" s="9"/>
      <c r="G51" s="36"/>
      <c r="H51" s="399"/>
      <c r="I51" s="78"/>
      <c r="J51" s="57"/>
      <c r="K51" s="78"/>
      <c r="L51" s="57"/>
      <c r="M51" s="78"/>
      <c r="N51" s="57"/>
      <c r="O51" s="78"/>
      <c r="P51" s="61"/>
      <c r="Q51" s="59"/>
      <c r="R51" s="41"/>
      <c r="S51" s="67"/>
    </row>
    <row r="52" spans="2:19" s="1" customFormat="1" ht="16.5" customHeight="1">
      <c r="B52" s="35"/>
      <c r="C52" s="48"/>
      <c r="D52" s="378">
        <f>RAB!D266</f>
        <v>1</v>
      </c>
      <c r="E52" s="8" t="str">
        <f>RAB!E266</f>
        <v>Pengecatan Cat Tembok Dinding</v>
      </c>
      <c r="F52" s="9"/>
      <c r="G52" s="36"/>
      <c r="H52" s="399"/>
      <c r="I52" s="78"/>
      <c r="J52" s="57"/>
      <c r="K52" s="78"/>
      <c r="L52" s="57"/>
      <c r="M52" s="78"/>
      <c r="N52" s="57"/>
      <c r="O52" s="78"/>
      <c r="P52" s="61"/>
      <c r="Q52" s="59"/>
      <c r="R52" s="41">
        <f>P56</f>
        <v>82.07</v>
      </c>
      <c r="S52" s="67" t="s">
        <v>133</v>
      </c>
    </row>
    <row r="53" spans="2:19" s="1" customFormat="1" ht="16.5" customHeight="1">
      <c r="B53" s="35"/>
      <c r="C53" s="48"/>
      <c r="D53" s="378"/>
      <c r="E53" s="8"/>
      <c r="F53" s="9"/>
      <c r="G53" s="36"/>
      <c r="H53" s="392" t="s">
        <v>408</v>
      </c>
      <c r="I53" s="460"/>
      <c r="J53" s="461" t="s">
        <v>226</v>
      </c>
      <c r="K53" s="460"/>
      <c r="L53" s="461" t="s">
        <v>52</v>
      </c>
      <c r="M53" s="78"/>
      <c r="N53" s="57"/>
      <c r="O53" s="78"/>
      <c r="P53" s="61"/>
      <c r="Q53" s="59"/>
      <c r="R53" s="41"/>
      <c r="S53" s="67"/>
    </row>
    <row r="54" spans="2:19" s="1" customFormat="1" ht="16.5" customHeight="1">
      <c r="B54" s="35"/>
      <c r="C54" s="48"/>
      <c r="D54" s="378"/>
      <c r="E54" s="8"/>
      <c r="F54" s="9"/>
      <c r="G54" s="36" t="s">
        <v>423</v>
      </c>
      <c r="H54" s="392">
        <v>5</v>
      </c>
      <c r="I54" s="460" t="s">
        <v>49</v>
      </c>
      <c r="J54" s="461">
        <v>1</v>
      </c>
      <c r="K54" s="460" t="s">
        <v>49</v>
      </c>
      <c r="L54" s="461">
        <f>R49</f>
        <v>9</v>
      </c>
      <c r="M54" s="78"/>
      <c r="N54" s="57"/>
      <c r="O54" s="78" t="s">
        <v>50</v>
      </c>
      <c r="P54" s="58">
        <f>H54*J54*L54</f>
        <v>45</v>
      </c>
      <c r="Q54" s="59" t="s">
        <v>133</v>
      </c>
      <c r="R54" s="41"/>
      <c r="S54" s="67"/>
    </row>
    <row r="55" spans="2:19" s="1" customFormat="1" ht="16.5" customHeight="1">
      <c r="B55" s="35"/>
      <c r="C55" s="48"/>
      <c r="D55" s="378"/>
      <c r="E55" s="8"/>
      <c r="F55" s="9"/>
      <c r="G55" s="36"/>
      <c r="H55" s="392">
        <v>37.07</v>
      </c>
      <c r="I55" s="460" t="s">
        <v>49</v>
      </c>
      <c r="J55" s="461">
        <v>1</v>
      </c>
      <c r="K55" s="460" t="s">
        <v>49</v>
      </c>
      <c r="L55" s="461">
        <v>1</v>
      </c>
      <c r="M55" s="78"/>
      <c r="N55" s="57"/>
      <c r="O55" s="78" t="s">
        <v>50</v>
      </c>
      <c r="P55" s="58">
        <f>H55*J55*L55</f>
        <v>37.07</v>
      </c>
      <c r="Q55" s="59" t="s">
        <v>133</v>
      </c>
      <c r="R55" s="41"/>
      <c r="S55" s="67"/>
    </row>
    <row r="56" spans="2:19" s="1" customFormat="1" ht="16.5" customHeight="1">
      <c r="B56" s="35"/>
      <c r="C56" s="48"/>
      <c r="D56" s="378"/>
      <c r="E56" s="8"/>
      <c r="F56" s="9"/>
      <c r="G56" s="36"/>
      <c r="H56" s="392"/>
      <c r="I56" s="460"/>
      <c r="J56" s="461"/>
      <c r="K56" s="460"/>
      <c r="L56" s="461"/>
      <c r="M56" s="78"/>
      <c r="N56" s="57"/>
      <c r="O56" s="78" t="s">
        <v>50</v>
      </c>
      <c r="P56" s="61">
        <f>SUM(P54:P55)</f>
        <v>82.07</v>
      </c>
      <c r="Q56" s="413" t="s">
        <v>133</v>
      </c>
      <c r="R56" s="41"/>
      <c r="S56" s="67"/>
    </row>
    <row r="57" spans="2:19" s="1" customFormat="1" ht="16.5" customHeight="1">
      <c r="B57" s="35"/>
      <c r="C57" s="48"/>
      <c r="D57" s="378"/>
      <c r="E57" s="8"/>
      <c r="F57" s="9"/>
      <c r="G57" s="36"/>
      <c r="H57" s="399"/>
      <c r="I57" s="78"/>
      <c r="J57" s="57"/>
      <c r="K57" s="78"/>
      <c r="L57" s="57"/>
      <c r="M57" s="78"/>
      <c r="N57" s="57"/>
      <c r="O57" s="78"/>
      <c r="P57" s="61"/>
      <c r="Q57" s="59"/>
      <c r="R57" s="41"/>
      <c r="S57" s="67"/>
    </row>
    <row r="58" spans="2:19" s="1" customFormat="1" ht="16.5" customHeight="1">
      <c r="B58" s="381"/>
      <c r="C58" s="465" t="str">
        <f>RAB!C270</f>
        <v>F.2</v>
      </c>
      <c r="D58" s="382" t="str">
        <f>RAB!D270</f>
        <v>PEKERJAAN KAMAR MANDI - B</v>
      </c>
      <c r="E58" s="383"/>
      <c r="F58" s="383"/>
      <c r="G58" s="384"/>
      <c r="H58" s="400"/>
      <c r="I58" s="385"/>
      <c r="J58" s="389"/>
      <c r="K58" s="385"/>
      <c r="L58" s="389"/>
      <c r="M58" s="385"/>
      <c r="N58" s="389"/>
      <c r="O58" s="385"/>
      <c r="P58" s="466"/>
      <c r="Q58" s="467"/>
      <c r="R58" s="386"/>
      <c r="S58" s="387"/>
    </row>
    <row r="59" spans="2:19" s="1" customFormat="1" ht="16.5" customHeight="1">
      <c r="B59" s="35"/>
      <c r="C59" s="48"/>
      <c r="D59" s="378">
        <f>RAB!D272</f>
        <v>1</v>
      </c>
      <c r="E59" s="8" t="str">
        <f>RAB!E272</f>
        <v>Pekerjaan Bongkaran</v>
      </c>
      <c r="F59" s="9"/>
      <c r="G59" s="36"/>
      <c r="H59" s="399"/>
      <c r="I59" s="78"/>
      <c r="J59" s="57"/>
      <c r="K59" s="78"/>
      <c r="L59" s="57"/>
      <c r="M59" s="78"/>
      <c r="N59" s="57"/>
      <c r="O59" s="78"/>
      <c r="P59" s="61"/>
      <c r="Q59" s="59"/>
      <c r="R59" s="41">
        <v>1</v>
      </c>
      <c r="S59" s="67" t="s">
        <v>20</v>
      </c>
    </row>
    <row r="60" spans="2:19" s="1" customFormat="1" ht="16.5" customHeight="1">
      <c r="B60" s="35"/>
      <c r="C60" s="48"/>
      <c r="D60" s="378">
        <f>RAB!D273</f>
        <v>2</v>
      </c>
      <c r="E60" s="8" t="str">
        <f>RAB!E273</f>
        <v>Pekerjaan Pembersihan</v>
      </c>
      <c r="F60" s="9"/>
      <c r="G60" s="36"/>
      <c r="H60" s="399"/>
      <c r="I60" s="78"/>
      <c r="J60" s="57"/>
      <c r="K60" s="78"/>
      <c r="L60" s="57"/>
      <c r="M60" s="78"/>
      <c r="N60" s="57"/>
      <c r="O60" s="78"/>
      <c r="P60" s="61"/>
      <c r="Q60" s="59"/>
      <c r="R60" s="41">
        <v>1</v>
      </c>
      <c r="S60" s="67" t="s">
        <v>20</v>
      </c>
    </row>
    <row r="61" spans="2:19" s="1" customFormat="1" ht="16.5" customHeight="1">
      <c r="B61" s="35"/>
      <c r="C61" s="48"/>
      <c r="D61" s="378"/>
      <c r="E61" s="8"/>
      <c r="F61" s="9"/>
      <c r="G61" s="36"/>
      <c r="H61" s="399"/>
      <c r="I61" s="78"/>
      <c r="J61" s="57"/>
      <c r="K61" s="78"/>
      <c r="L61" s="57"/>
      <c r="M61" s="78"/>
      <c r="N61" s="57"/>
      <c r="O61" s="78"/>
      <c r="P61" s="61"/>
      <c r="Q61" s="59"/>
      <c r="R61" s="41"/>
      <c r="S61" s="67"/>
    </row>
    <row r="62" spans="2:19" s="1" customFormat="1" ht="16.5" customHeight="1">
      <c r="B62" s="35"/>
      <c r="C62" s="48"/>
      <c r="D62" s="378" t="str">
        <f>RAB!D275</f>
        <v>PEKERJAAN LANTAI</v>
      </c>
      <c r="E62" s="8"/>
      <c r="F62" s="9"/>
      <c r="G62" s="36"/>
      <c r="H62" s="399"/>
      <c r="I62" s="78"/>
      <c r="J62" s="57"/>
      <c r="K62" s="78"/>
      <c r="L62" s="57"/>
      <c r="M62" s="78"/>
      <c r="N62" s="57"/>
      <c r="O62" s="78"/>
      <c r="P62" s="61"/>
      <c r="Q62" s="59"/>
      <c r="R62" s="41"/>
      <c r="S62" s="67"/>
    </row>
    <row r="63" spans="2:19" s="1" customFormat="1" ht="16.5" customHeight="1">
      <c r="B63" s="35"/>
      <c r="C63" s="48"/>
      <c r="D63" s="378">
        <f>RAB!D276</f>
        <v>1</v>
      </c>
      <c r="E63" s="8" t="str">
        <f>RAB!E276</f>
        <v>Lantai Keramik unpholised 40x40</v>
      </c>
      <c r="F63" s="9"/>
      <c r="G63" s="36"/>
      <c r="H63" s="399"/>
      <c r="I63" s="78"/>
      <c r="J63" s="57"/>
      <c r="K63" s="78"/>
      <c r="L63" s="57"/>
      <c r="M63" s="78"/>
      <c r="N63" s="57"/>
      <c r="O63" s="78"/>
      <c r="P63" s="61"/>
      <c r="Q63" s="59"/>
      <c r="R63" s="41">
        <f>P72</f>
        <v>60.45</v>
      </c>
      <c r="S63" s="67" t="s">
        <v>133</v>
      </c>
    </row>
    <row r="64" spans="2:19" s="1" customFormat="1" ht="16.5" customHeight="1">
      <c r="B64" s="35"/>
      <c r="C64" s="48"/>
      <c r="D64" s="378"/>
      <c r="E64" s="8"/>
      <c r="F64" s="9"/>
      <c r="G64" s="23"/>
      <c r="H64" s="392" t="s">
        <v>428</v>
      </c>
      <c r="I64" s="460"/>
      <c r="J64" s="461" t="s">
        <v>52</v>
      </c>
      <c r="K64" s="78"/>
      <c r="L64" s="57"/>
      <c r="M64" s="78"/>
      <c r="N64" s="57"/>
      <c r="O64" s="79"/>
      <c r="P64" s="61"/>
      <c r="Q64" s="59"/>
      <c r="R64" s="41"/>
      <c r="S64" s="67"/>
    </row>
    <row r="65" spans="2:19" s="1" customFormat="1" ht="16.5" customHeight="1">
      <c r="B65" s="35"/>
      <c r="C65" s="48"/>
      <c r="D65" s="378"/>
      <c r="E65" s="8"/>
      <c r="F65" s="9"/>
      <c r="G65" s="23" t="s">
        <v>516</v>
      </c>
      <c r="H65" s="392">
        <v>30.95</v>
      </c>
      <c r="I65" s="460" t="s">
        <v>49</v>
      </c>
      <c r="J65" s="461">
        <v>1</v>
      </c>
      <c r="K65" s="78"/>
      <c r="L65" s="57"/>
      <c r="M65" s="78"/>
      <c r="N65" s="57"/>
      <c r="O65" s="78" t="s">
        <v>50</v>
      </c>
      <c r="P65" s="58">
        <f>H65*J65</f>
        <v>30.95</v>
      </c>
      <c r="Q65" s="59" t="s">
        <v>133</v>
      </c>
      <c r="R65" s="41"/>
      <c r="S65" s="67"/>
    </row>
    <row r="66" spans="2:19" s="1" customFormat="1" ht="16.5" customHeight="1">
      <c r="B66" s="35"/>
      <c r="C66" s="48"/>
      <c r="D66" s="378"/>
      <c r="E66" s="8"/>
      <c r="F66" s="9"/>
      <c r="G66" s="36" t="s">
        <v>514</v>
      </c>
      <c r="H66" s="392">
        <v>1.5</v>
      </c>
      <c r="I66" s="460" t="s">
        <v>49</v>
      </c>
      <c r="J66" s="461">
        <v>3</v>
      </c>
      <c r="K66" s="78"/>
      <c r="L66" s="57"/>
      <c r="M66" s="78"/>
      <c r="N66" s="57"/>
      <c r="O66" s="78" t="s">
        <v>50</v>
      </c>
      <c r="P66" s="58"/>
      <c r="Q66" s="59" t="s">
        <v>133</v>
      </c>
      <c r="R66" s="41"/>
      <c r="S66" s="67"/>
    </row>
    <row r="67" spans="2:19" s="1" customFormat="1" ht="16.5" customHeight="1">
      <c r="B67" s="35"/>
      <c r="C67" s="48"/>
      <c r="D67" s="378"/>
      <c r="E67" s="8"/>
      <c r="F67" s="9"/>
      <c r="G67" s="36" t="s">
        <v>515</v>
      </c>
      <c r="H67" s="392">
        <v>1.8</v>
      </c>
      <c r="I67" s="460" t="s">
        <v>49</v>
      </c>
      <c r="J67" s="461">
        <v>2</v>
      </c>
      <c r="K67" s="78"/>
      <c r="L67" s="57"/>
      <c r="M67" s="78"/>
      <c r="N67" s="57"/>
      <c r="O67" s="78" t="s">
        <v>50</v>
      </c>
      <c r="P67" s="58"/>
      <c r="Q67" s="59" t="s">
        <v>133</v>
      </c>
      <c r="R67" s="41"/>
      <c r="S67" s="67"/>
    </row>
    <row r="68" spans="2:19" s="1" customFormat="1" ht="16.5" customHeight="1">
      <c r="B68" s="35"/>
      <c r="C68" s="48"/>
      <c r="D68" s="378"/>
      <c r="E68" s="8"/>
      <c r="F68" s="9"/>
      <c r="G68" s="36"/>
      <c r="H68" s="399"/>
      <c r="I68" s="78"/>
      <c r="J68" s="57"/>
      <c r="K68" s="78"/>
      <c r="L68" s="57"/>
      <c r="M68" s="78"/>
      <c r="N68" s="57"/>
      <c r="O68" s="78"/>
      <c r="P68" s="61"/>
      <c r="Q68" s="59"/>
      <c r="R68" s="41"/>
      <c r="S68" s="67"/>
    </row>
    <row r="69" spans="2:19" s="1" customFormat="1" ht="16.5" customHeight="1">
      <c r="B69" s="35"/>
      <c r="C69" s="48"/>
      <c r="D69" s="378"/>
      <c r="E69" s="8"/>
      <c r="F69" s="9"/>
      <c r="G69" s="23" t="s">
        <v>513</v>
      </c>
      <c r="H69" s="392">
        <v>29.5</v>
      </c>
      <c r="I69" s="460" t="s">
        <v>49</v>
      </c>
      <c r="J69" s="461">
        <v>1</v>
      </c>
      <c r="K69" s="78"/>
      <c r="L69" s="57"/>
      <c r="M69" s="78"/>
      <c r="N69" s="57"/>
      <c r="O69" s="78" t="s">
        <v>50</v>
      </c>
      <c r="P69" s="58">
        <f>H69*J69</f>
        <v>29.5</v>
      </c>
      <c r="Q69" s="59" t="s">
        <v>133</v>
      </c>
      <c r="R69" s="41"/>
      <c r="S69" s="67"/>
    </row>
    <row r="70" spans="2:19" s="1" customFormat="1" ht="16.5" customHeight="1">
      <c r="B70" s="35"/>
      <c r="C70" s="48"/>
      <c r="D70" s="378"/>
      <c r="E70" s="8"/>
      <c r="F70" s="9"/>
      <c r="G70" s="36" t="s">
        <v>514</v>
      </c>
      <c r="H70" s="392">
        <v>1.5</v>
      </c>
      <c r="I70" s="460" t="s">
        <v>49</v>
      </c>
      <c r="J70" s="461">
        <v>2</v>
      </c>
      <c r="K70" s="78"/>
      <c r="L70" s="57"/>
      <c r="M70" s="78"/>
      <c r="N70" s="57"/>
      <c r="O70" s="78" t="s">
        <v>50</v>
      </c>
      <c r="P70" s="58"/>
      <c r="Q70" s="59" t="s">
        <v>133</v>
      </c>
      <c r="R70" s="41"/>
      <c r="S70" s="67"/>
    </row>
    <row r="71" spans="2:19" s="1" customFormat="1" ht="16.5" customHeight="1">
      <c r="B71" s="35"/>
      <c r="C71" s="48"/>
      <c r="D71" s="378"/>
      <c r="E71" s="8"/>
      <c r="F71" s="9"/>
      <c r="G71" s="36" t="s">
        <v>515</v>
      </c>
      <c r="H71" s="392">
        <v>1.8</v>
      </c>
      <c r="I71" s="460" t="s">
        <v>49</v>
      </c>
      <c r="J71" s="461">
        <v>2</v>
      </c>
      <c r="K71" s="78"/>
      <c r="L71" s="57"/>
      <c r="M71" s="78"/>
      <c r="N71" s="57"/>
      <c r="O71" s="78" t="s">
        <v>50</v>
      </c>
      <c r="P71" s="58"/>
      <c r="Q71" s="59" t="s">
        <v>133</v>
      </c>
      <c r="R71" s="41"/>
      <c r="S71" s="67"/>
    </row>
    <row r="72" spans="2:19" s="1" customFormat="1" ht="16.5" customHeight="1">
      <c r="B72" s="35"/>
      <c r="C72" s="48"/>
      <c r="D72" s="378"/>
      <c r="E72" s="8"/>
      <c r="F72" s="9"/>
      <c r="G72" s="36"/>
      <c r="H72" s="399"/>
      <c r="I72" s="78"/>
      <c r="J72" s="57"/>
      <c r="K72" s="78"/>
      <c r="L72" s="57"/>
      <c r="M72" s="78"/>
      <c r="N72" s="57"/>
      <c r="O72" s="78" t="s">
        <v>50</v>
      </c>
      <c r="P72" s="61">
        <f>SUM(P65:P71)</f>
        <v>60.45</v>
      </c>
      <c r="Q72" s="413" t="s">
        <v>133</v>
      </c>
      <c r="R72" s="41"/>
      <c r="S72" s="67"/>
    </row>
    <row r="73" spans="2:19" s="1" customFormat="1" ht="16.5" customHeight="1">
      <c r="B73" s="35"/>
      <c r="C73" s="48"/>
      <c r="D73" s="378"/>
      <c r="E73" s="8"/>
      <c r="F73" s="9"/>
      <c r="G73" s="36"/>
      <c r="H73" s="399"/>
      <c r="I73" s="78"/>
      <c r="J73" s="57"/>
      <c r="K73" s="78"/>
      <c r="L73" s="57"/>
      <c r="M73" s="78"/>
      <c r="N73" s="57"/>
      <c r="O73" s="78"/>
      <c r="P73" s="61"/>
      <c r="Q73" s="59"/>
      <c r="R73" s="41"/>
      <c r="S73" s="67"/>
    </row>
    <row r="74" spans="2:19" s="1" customFormat="1" ht="16.5" customHeight="1">
      <c r="B74" s="35"/>
      <c r="C74" s="48"/>
      <c r="D74" s="378">
        <f>RAB!D277</f>
        <v>2</v>
      </c>
      <c r="E74" s="8" t="str">
        <f>RAB!E277</f>
        <v xml:space="preserve">Sisip Keramik Dinding </v>
      </c>
      <c r="F74" s="9"/>
      <c r="G74" s="36"/>
      <c r="H74" s="399"/>
      <c r="I74" s="78"/>
      <c r="J74" s="57"/>
      <c r="K74" s="78"/>
      <c r="L74" s="57"/>
      <c r="M74" s="78"/>
      <c r="N74" s="57"/>
      <c r="O74" s="78"/>
      <c r="P74" s="61"/>
      <c r="Q74" s="59"/>
      <c r="R74" s="41">
        <f>P76</f>
        <v>15</v>
      </c>
      <c r="S74" s="67" t="s">
        <v>133</v>
      </c>
    </row>
    <row r="75" spans="2:19" s="1" customFormat="1" ht="16.5" customHeight="1">
      <c r="B75" s="35"/>
      <c r="C75" s="48"/>
      <c r="D75" s="378"/>
      <c r="E75" s="8"/>
      <c r="F75" s="9"/>
      <c r="G75" s="36"/>
      <c r="H75" s="392" t="s">
        <v>408</v>
      </c>
      <c r="I75" s="460"/>
      <c r="J75" s="461" t="s">
        <v>226</v>
      </c>
      <c r="K75" s="78"/>
      <c r="L75" s="57"/>
      <c r="M75" s="78"/>
      <c r="N75" s="57"/>
      <c r="O75" s="79"/>
      <c r="P75" s="61"/>
      <c r="Q75" s="59"/>
      <c r="R75" s="41"/>
      <c r="S75" s="67"/>
    </row>
    <row r="76" spans="2:19" s="1" customFormat="1" ht="16.5" customHeight="1">
      <c r="B76" s="35"/>
      <c r="C76" s="48"/>
      <c r="D76" s="378"/>
      <c r="E76" s="8"/>
      <c r="F76" s="9"/>
      <c r="G76" s="36"/>
      <c r="H76" s="392">
        <v>5</v>
      </c>
      <c r="I76" s="460" t="s">
        <v>49</v>
      </c>
      <c r="J76" s="461">
        <v>3</v>
      </c>
      <c r="K76" s="78"/>
      <c r="L76" s="57"/>
      <c r="M76" s="78"/>
      <c r="N76" s="57"/>
      <c r="O76" s="78" t="s">
        <v>50</v>
      </c>
      <c r="P76" s="61">
        <f>H76*J76</f>
        <v>15</v>
      </c>
      <c r="Q76" s="413" t="s">
        <v>133</v>
      </c>
      <c r="R76" s="41"/>
      <c r="S76" s="67"/>
    </row>
    <row r="77" spans="2:19" s="1" customFormat="1" ht="16.5" customHeight="1">
      <c r="B77" s="35"/>
      <c r="C77" s="48"/>
      <c r="D77" s="378"/>
      <c r="E77" s="8"/>
      <c r="F77" s="9"/>
      <c r="G77" s="36"/>
      <c r="H77" s="399"/>
      <c r="I77" s="78"/>
      <c r="J77" s="57"/>
      <c r="K77" s="78"/>
      <c r="L77" s="57"/>
      <c r="M77" s="78"/>
      <c r="N77" s="57"/>
      <c r="O77" s="78"/>
      <c r="P77" s="61"/>
      <c r="Q77" s="59"/>
      <c r="R77" s="41"/>
      <c r="S77" s="67"/>
    </row>
    <row r="78" spans="2:19" s="1" customFormat="1" ht="16.5" customHeight="1">
      <c r="B78" s="35"/>
      <c r="C78" s="48"/>
      <c r="D78" s="378">
        <f>RAB!D278</f>
        <v>3</v>
      </c>
      <c r="E78" s="8" t="str">
        <f>RAB!E278</f>
        <v>Waterprofing Lantai</v>
      </c>
      <c r="F78" s="9"/>
      <c r="G78" s="36"/>
      <c r="H78" s="399"/>
      <c r="I78" s="78"/>
      <c r="J78" s="57"/>
      <c r="K78" s="78"/>
      <c r="L78" s="57"/>
      <c r="M78" s="78"/>
      <c r="N78" s="57"/>
      <c r="O78" s="78"/>
      <c r="P78" s="61"/>
      <c r="Q78" s="59"/>
      <c r="R78" s="41">
        <f>R63</f>
        <v>60.45</v>
      </c>
      <c r="S78" s="67" t="s">
        <v>133</v>
      </c>
    </row>
    <row r="79" spans="2:19" s="1" customFormat="1" ht="16.5" customHeight="1">
      <c r="B79" s="35"/>
      <c r="C79" s="48"/>
      <c r="D79" s="378"/>
      <c r="E79" s="8"/>
      <c r="F79" s="9"/>
      <c r="G79" s="36"/>
      <c r="H79" s="399"/>
      <c r="I79" s="78"/>
      <c r="J79" s="57"/>
      <c r="K79" s="78"/>
      <c r="L79" s="57"/>
      <c r="M79" s="78"/>
      <c r="N79" s="57"/>
      <c r="O79" s="78"/>
      <c r="P79" s="61"/>
      <c r="Q79" s="59"/>
      <c r="R79" s="41"/>
      <c r="S79" s="67"/>
    </row>
    <row r="80" spans="2:19" s="1" customFormat="1" ht="16.5" customHeight="1">
      <c r="B80" s="35"/>
      <c r="C80" s="48"/>
      <c r="D80" s="378"/>
      <c r="E80" s="8"/>
      <c r="F80" s="9"/>
      <c r="G80" s="36"/>
      <c r="H80" s="399"/>
      <c r="I80" s="78"/>
      <c r="J80" s="57"/>
      <c r="K80" s="78"/>
      <c r="L80" s="57"/>
      <c r="M80" s="78"/>
      <c r="N80" s="57"/>
      <c r="O80" s="78"/>
      <c r="P80" s="61"/>
      <c r="Q80" s="59"/>
      <c r="R80" s="41"/>
      <c r="S80" s="67"/>
    </row>
    <row r="81" spans="2:19" s="1" customFormat="1" ht="16.5" customHeight="1">
      <c r="B81" s="35"/>
      <c r="C81" s="48"/>
      <c r="D81" s="378" t="str">
        <f>RAB!D280</f>
        <v>PEKERJAAN INSTALASI LISTRIK</v>
      </c>
      <c r="E81" s="8"/>
      <c r="F81" s="9"/>
      <c r="G81" s="36"/>
      <c r="H81" s="399"/>
      <c r="I81" s="78"/>
      <c r="J81" s="57"/>
      <c r="K81" s="78"/>
      <c r="L81" s="57"/>
      <c r="M81" s="78"/>
      <c r="N81" s="57"/>
      <c r="O81" s="78"/>
      <c r="P81" s="61"/>
      <c r="Q81" s="59"/>
      <c r="R81" s="41"/>
      <c r="S81" s="67"/>
    </row>
    <row r="82" spans="2:19" s="1" customFormat="1" ht="16.5" customHeight="1">
      <c r="B82" s="35"/>
      <c r="C82" s="48"/>
      <c r="D82" s="378">
        <f>RAB!D282</f>
        <v>2</v>
      </c>
      <c r="E82" s="8" t="str">
        <f>RAB!E282</f>
        <v>Lampu LED 7 watt + Fitting Downlight</v>
      </c>
      <c r="F82" s="9"/>
      <c r="G82" s="36"/>
      <c r="H82" s="399"/>
      <c r="I82" s="78"/>
      <c r="J82" s="57"/>
      <c r="K82" s="78"/>
      <c r="L82" s="57"/>
      <c r="M82" s="78"/>
      <c r="N82" s="57"/>
      <c r="O82" s="78"/>
      <c r="P82" s="61"/>
      <c r="Q82" s="59"/>
      <c r="R82" s="41">
        <v>19</v>
      </c>
      <c r="S82" s="67" t="s">
        <v>62</v>
      </c>
    </row>
    <row r="83" spans="2:19" s="1" customFormat="1" ht="16.5" customHeight="1">
      <c r="B83" s="35"/>
      <c r="C83" s="48"/>
      <c r="D83" s="378"/>
      <c r="E83" s="8"/>
      <c r="F83" s="9"/>
      <c r="G83" s="36"/>
      <c r="H83" s="399"/>
      <c r="I83" s="78"/>
      <c r="J83" s="57"/>
      <c r="K83" s="78"/>
      <c r="L83" s="57"/>
      <c r="M83" s="78"/>
      <c r="N83" s="57"/>
      <c r="O83" s="78"/>
      <c r="P83" s="61"/>
      <c r="Q83" s="59"/>
      <c r="R83" s="41"/>
      <c r="S83" s="67"/>
    </row>
    <row r="84" spans="2:19" s="1" customFormat="1" ht="16.5" customHeight="1">
      <c r="B84" s="35"/>
      <c r="C84" s="48"/>
      <c r="D84" s="378" t="str">
        <f>RAB!D284</f>
        <v>PEKERJAAN SANITAIR</v>
      </c>
      <c r="E84" s="8"/>
      <c r="F84" s="9"/>
      <c r="G84" s="36"/>
      <c r="H84" s="399"/>
      <c r="I84" s="78"/>
      <c r="J84" s="57"/>
      <c r="K84" s="78"/>
      <c r="L84" s="57"/>
      <c r="M84" s="78"/>
      <c r="N84" s="57"/>
      <c r="O84" s="78"/>
      <c r="P84" s="61"/>
      <c r="Q84" s="59"/>
      <c r="R84" s="41"/>
      <c r="S84" s="67"/>
    </row>
    <row r="85" spans="2:19" s="1" customFormat="1" ht="16.5" customHeight="1">
      <c r="B85" s="35"/>
      <c r="C85" s="48"/>
      <c r="D85" s="378">
        <f>RAB!D290</f>
        <v>1</v>
      </c>
      <c r="E85" s="8" t="str">
        <f>RAB!E290</f>
        <v>Pipa Air Bersih PVC Dia. 1/2"</v>
      </c>
      <c r="F85" s="9"/>
      <c r="G85" s="36"/>
      <c r="H85" s="399"/>
      <c r="I85" s="78"/>
      <c r="J85" s="57"/>
      <c r="K85" s="78"/>
      <c r="L85" s="57"/>
      <c r="M85" s="78"/>
      <c r="N85" s="57"/>
      <c r="O85" s="78"/>
      <c r="P85" s="61"/>
      <c r="Q85" s="59"/>
      <c r="R85" s="41">
        <v>25</v>
      </c>
      <c r="S85" s="67" t="s">
        <v>21</v>
      </c>
    </row>
    <row r="86" spans="2:19" s="1" customFormat="1" ht="16.5" customHeight="1">
      <c r="B86" s="35"/>
      <c r="C86" s="48"/>
      <c r="D86" s="378">
        <f>RAB!D285</f>
        <v>1</v>
      </c>
      <c r="E86" s="8" t="str">
        <f>RAB!E285</f>
        <v>Kran Air Stainless 1/2"</v>
      </c>
      <c r="F86" s="9"/>
      <c r="G86" s="36"/>
      <c r="H86" s="399"/>
      <c r="I86" s="78"/>
      <c r="J86" s="57"/>
      <c r="K86" s="78"/>
      <c r="L86" s="57"/>
      <c r="M86" s="78"/>
      <c r="N86" s="57"/>
      <c r="O86" s="78"/>
      <c r="P86" s="61"/>
      <c r="Q86" s="59"/>
      <c r="R86" s="41">
        <v>9</v>
      </c>
      <c r="S86" s="67" t="s">
        <v>62</v>
      </c>
    </row>
    <row r="87" spans="2:19" s="1" customFormat="1" ht="16.5" customHeight="1">
      <c r="B87" s="35"/>
      <c r="C87" s="48"/>
      <c r="D87" s="378" t="e">
        <f>RAB!#REF!</f>
        <v>#REF!</v>
      </c>
      <c r="E87" s="8" t="e">
        <f>RAB!#REF!</f>
        <v>#REF!</v>
      </c>
      <c r="F87" s="9"/>
      <c r="G87" s="36"/>
      <c r="H87" s="399"/>
      <c r="I87" s="78"/>
      <c r="J87" s="57"/>
      <c r="K87" s="78"/>
      <c r="L87" s="57"/>
      <c r="M87" s="78"/>
      <c r="N87" s="57"/>
      <c r="O87" s="78"/>
      <c r="P87" s="61"/>
      <c r="Q87" s="59"/>
      <c r="R87" s="41">
        <v>8</v>
      </c>
      <c r="S87" s="67" t="s">
        <v>62</v>
      </c>
    </row>
    <row r="88" spans="2:19" s="1" customFormat="1" ht="16.5" customHeight="1">
      <c r="B88" s="35"/>
      <c r="C88" s="48"/>
      <c r="D88" s="378">
        <f>RAB!D287</f>
        <v>3</v>
      </c>
      <c r="E88" s="8" t="str">
        <f>RAB!E287</f>
        <v>Floordrain</v>
      </c>
      <c r="F88" s="9"/>
      <c r="G88" s="36"/>
      <c r="H88" s="399"/>
      <c r="I88" s="78"/>
      <c r="J88" s="57"/>
      <c r="K88" s="78"/>
      <c r="L88" s="57"/>
      <c r="M88" s="78"/>
      <c r="N88" s="57"/>
      <c r="O88" s="78"/>
      <c r="P88" s="61"/>
      <c r="Q88" s="59"/>
      <c r="R88" s="41">
        <v>9</v>
      </c>
      <c r="S88" s="67" t="s">
        <v>62</v>
      </c>
    </row>
    <row r="89" spans="2:19" s="1" customFormat="1" ht="16.5" customHeight="1">
      <c r="B89" s="35"/>
      <c r="C89" s="48"/>
      <c r="D89" s="378"/>
      <c r="E89" s="8"/>
      <c r="F89" s="9"/>
      <c r="G89" s="36"/>
      <c r="H89" s="399"/>
      <c r="I89" s="78"/>
      <c r="J89" s="57"/>
      <c r="K89" s="78"/>
      <c r="L89" s="57"/>
      <c r="M89" s="78"/>
      <c r="N89" s="57"/>
      <c r="O89" s="78"/>
      <c r="P89" s="61"/>
      <c r="Q89" s="59"/>
      <c r="R89" s="41"/>
      <c r="S89" s="67"/>
    </row>
    <row r="90" spans="2:19" s="1" customFormat="1" ht="16.5" customHeight="1">
      <c r="B90" s="35"/>
      <c r="C90" s="48"/>
      <c r="D90" s="378" t="str">
        <f>RAB!D297</f>
        <v xml:space="preserve">PEKERJAAN PINTU </v>
      </c>
      <c r="E90" s="8"/>
      <c r="F90" s="9"/>
      <c r="G90" s="36"/>
      <c r="H90" s="399"/>
      <c r="I90" s="78"/>
      <c r="J90" s="57"/>
      <c r="K90" s="78"/>
      <c r="L90" s="57"/>
      <c r="M90" s="78"/>
      <c r="N90" s="57"/>
      <c r="O90" s="78"/>
      <c r="P90" s="61"/>
      <c r="Q90" s="59"/>
      <c r="R90" s="41"/>
      <c r="S90" s="67"/>
    </row>
    <row r="91" spans="2:19" s="1" customFormat="1" ht="16.5" customHeight="1">
      <c r="B91" s="35"/>
      <c r="C91" s="48"/>
      <c r="D91" s="378">
        <f>RAB!D298</f>
        <v>1</v>
      </c>
      <c r="E91" s="8" t="str">
        <f>RAB!E298</f>
        <v>Pas. Kunci Tanam</v>
      </c>
      <c r="F91" s="9"/>
      <c r="G91" s="36"/>
      <c r="H91" s="399"/>
      <c r="I91" s="78"/>
      <c r="J91" s="57"/>
      <c r="K91" s="78"/>
      <c r="L91" s="57"/>
      <c r="M91" s="78"/>
      <c r="N91" s="57"/>
      <c r="O91" s="78"/>
      <c r="P91" s="61"/>
      <c r="Q91" s="59"/>
      <c r="R91" s="41">
        <v>2</v>
      </c>
      <c r="S91" s="67" t="s">
        <v>62</v>
      </c>
    </row>
    <row r="92" spans="2:19" s="1" customFormat="1" ht="16.5" customHeight="1">
      <c r="B92" s="35"/>
      <c r="C92" s="48"/>
      <c r="D92" s="378">
        <f>RAB!D299</f>
        <v>2</v>
      </c>
      <c r="E92" s="8" t="str">
        <f>RAB!E299</f>
        <v>Pas. Pintu Toilet Aluminium</v>
      </c>
      <c r="F92" s="9"/>
      <c r="G92" s="36"/>
      <c r="H92" s="399"/>
      <c r="I92" s="78"/>
      <c r="J92" s="57"/>
      <c r="K92" s="78"/>
      <c r="L92" s="57"/>
      <c r="M92" s="78"/>
      <c r="N92" s="57"/>
      <c r="O92" s="78"/>
      <c r="P92" s="61"/>
      <c r="Q92" s="59"/>
      <c r="R92" s="41">
        <v>9</v>
      </c>
      <c r="S92" s="67" t="s">
        <v>62</v>
      </c>
    </row>
    <row r="93" spans="2:19" s="1" customFormat="1" ht="16.5" customHeight="1">
      <c r="B93" s="35"/>
      <c r="C93" s="48"/>
      <c r="D93" s="378"/>
      <c r="E93" s="8"/>
      <c r="F93" s="9"/>
      <c r="G93" s="36"/>
      <c r="H93" s="399"/>
      <c r="I93" s="78"/>
      <c r="J93" s="57"/>
      <c r="K93" s="78"/>
      <c r="L93" s="57"/>
      <c r="M93" s="78"/>
      <c r="N93" s="57"/>
      <c r="O93" s="78"/>
      <c r="P93" s="61"/>
      <c r="Q93" s="59"/>
      <c r="R93" s="41"/>
      <c r="S93" s="67"/>
    </row>
    <row r="94" spans="2:19" s="1" customFormat="1" ht="16.5" customHeight="1">
      <c r="B94" s="35"/>
      <c r="C94" s="48"/>
      <c r="D94" s="378" t="str">
        <f>RAB!D301</f>
        <v>PEKERJAAN PENGECATAN</v>
      </c>
      <c r="E94" s="8"/>
      <c r="F94" s="9"/>
      <c r="G94" s="36"/>
      <c r="H94" s="399"/>
      <c r="I94" s="78"/>
      <c r="J94" s="57"/>
      <c r="K94" s="78"/>
      <c r="L94" s="57"/>
      <c r="M94" s="78"/>
      <c r="N94" s="57"/>
      <c r="O94" s="78"/>
      <c r="P94" s="61"/>
      <c r="Q94" s="59"/>
      <c r="R94" s="41"/>
      <c r="S94" s="67"/>
    </row>
    <row r="95" spans="2:19" s="1" customFormat="1" ht="16.5" customHeight="1">
      <c r="B95" s="35"/>
      <c r="C95" s="48"/>
      <c r="D95" s="378">
        <f>RAB!D302</f>
        <v>1</v>
      </c>
      <c r="E95" s="8" t="str">
        <f>RAB!E302</f>
        <v>Pengecatan Cat Tembok Dinding Interior</v>
      </c>
      <c r="F95" s="9"/>
      <c r="G95" s="36"/>
      <c r="H95" s="399"/>
      <c r="I95" s="78"/>
      <c r="J95" s="57"/>
      <c r="K95" s="78"/>
      <c r="L95" s="57"/>
      <c r="M95" s="78"/>
      <c r="N95" s="57"/>
      <c r="O95" s="78"/>
      <c r="P95" s="61"/>
      <c r="Q95" s="59"/>
      <c r="R95" s="41">
        <f>P99</f>
        <v>82.07</v>
      </c>
      <c r="S95" s="67" t="s">
        <v>133</v>
      </c>
    </row>
    <row r="96" spans="2:19" s="1" customFormat="1" ht="16.5" customHeight="1">
      <c r="B96" s="35"/>
      <c r="C96" s="48"/>
      <c r="D96" s="378"/>
      <c r="E96" s="8"/>
      <c r="F96" s="9"/>
      <c r="G96" s="36"/>
      <c r="H96" s="392" t="s">
        <v>408</v>
      </c>
      <c r="I96" s="460"/>
      <c r="J96" s="461" t="s">
        <v>226</v>
      </c>
      <c r="K96" s="460"/>
      <c r="L96" s="461" t="s">
        <v>52</v>
      </c>
      <c r="M96" s="78"/>
      <c r="N96" s="57"/>
      <c r="O96" s="78"/>
      <c r="P96" s="61"/>
      <c r="Q96" s="59"/>
      <c r="R96" s="41"/>
      <c r="S96" s="67"/>
    </row>
    <row r="97" spans="2:19" s="1" customFormat="1" ht="16.5" customHeight="1">
      <c r="B97" s="35"/>
      <c r="C97" s="48"/>
      <c r="D97" s="378"/>
      <c r="E97" s="8"/>
      <c r="F97" s="9"/>
      <c r="G97" s="36" t="s">
        <v>423</v>
      </c>
      <c r="H97" s="392">
        <v>5</v>
      </c>
      <c r="I97" s="460" t="s">
        <v>49</v>
      </c>
      <c r="J97" s="461">
        <v>1</v>
      </c>
      <c r="K97" s="460" t="s">
        <v>49</v>
      </c>
      <c r="L97" s="461">
        <f>R92</f>
        <v>9</v>
      </c>
      <c r="M97" s="78"/>
      <c r="N97" s="57"/>
      <c r="O97" s="78" t="s">
        <v>50</v>
      </c>
      <c r="P97" s="58">
        <f>H97*J97*L97</f>
        <v>45</v>
      </c>
      <c r="Q97" s="59" t="s">
        <v>133</v>
      </c>
      <c r="R97" s="41"/>
      <c r="S97" s="67"/>
    </row>
    <row r="98" spans="2:19" s="1" customFormat="1" ht="16.5" customHeight="1">
      <c r="B98" s="35"/>
      <c r="C98" s="48"/>
      <c r="D98" s="378"/>
      <c r="E98" s="8"/>
      <c r="F98" s="9"/>
      <c r="G98" s="36"/>
      <c r="H98" s="392">
        <v>37.07</v>
      </c>
      <c r="I98" s="460" t="s">
        <v>49</v>
      </c>
      <c r="J98" s="461">
        <v>1</v>
      </c>
      <c r="K98" s="460" t="s">
        <v>49</v>
      </c>
      <c r="L98" s="461">
        <v>1</v>
      </c>
      <c r="M98" s="78"/>
      <c r="N98" s="57"/>
      <c r="O98" s="78" t="s">
        <v>50</v>
      </c>
      <c r="P98" s="58">
        <f>H98*J98*L98</f>
        <v>37.07</v>
      </c>
      <c r="Q98" s="59" t="s">
        <v>133</v>
      </c>
      <c r="R98" s="41"/>
      <c r="S98" s="67"/>
    </row>
    <row r="99" spans="2:19" s="1" customFormat="1" ht="16.5" customHeight="1">
      <c r="B99" s="35"/>
      <c r="C99" s="48"/>
      <c r="D99" s="378"/>
      <c r="E99" s="8"/>
      <c r="F99" s="9"/>
      <c r="G99" s="36"/>
      <c r="H99" s="392"/>
      <c r="I99" s="460"/>
      <c r="J99" s="461"/>
      <c r="K99" s="460"/>
      <c r="L99" s="461"/>
      <c r="M99" s="78"/>
      <c r="N99" s="57"/>
      <c r="O99" s="78" t="s">
        <v>50</v>
      </c>
      <c r="P99" s="61">
        <f>SUM(P97:P98)</f>
        <v>82.07</v>
      </c>
      <c r="Q99" s="413" t="s">
        <v>133</v>
      </c>
      <c r="R99" s="41"/>
      <c r="S99" s="67"/>
    </row>
    <row r="100" spans="2:19" s="1" customFormat="1" ht="16.5" customHeight="1">
      <c r="B100" s="35"/>
      <c r="C100" s="48"/>
      <c r="D100" s="378"/>
      <c r="E100" s="8"/>
      <c r="F100" s="9"/>
      <c r="G100" s="36"/>
      <c r="H100" s="399"/>
      <c r="I100" s="78"/>
      <c r="J100" s="57"/>
      <c r="K100" s="78"/>
      <c r="L100" s="57"/>
      <c r="M100" s="78"/>
      <c r="N100" s="57"/>
      <c r="O100" s="78"/>
      <c r="P100" s="61"/>
      <c r="Q100" s="59"/>
      <c r="R100" s="41"/>
      <c r="S100" s="67"/>
    </row>
    <row r="101" spans="2:19" s="1" customFormat="1" ht="16.5" customHeight="1">
      <c r="B101" s="381"/>
      <c r="C101" s="465" t="str">
        <f>RAB!C305</f>
        <v>F.3</v>
      </c>
      <c r="D101" s="382" t="str">
        <f>RAB!D305</f>
        <v>PEKERJAAN KAMAR MANDI - C</v>
      </c>
      <c r="E101" s="383"/>
      <c r="F101" s="383"/>
      <c r="G101" s="384"/>
      <c r="H101" s="400"/>
      <c r="I101" s="385"/>
      <c r="J101" s="389"/>
      <c r="K101" s="385"/>
      <c r="L101" s="389"/>
      <c r="M101" s="385"/>
      <c r="N101" s="389"/>
      <c r="O101" s="385"/>
      <c r="P101" s="466"/>
      <c r="Q101" s="467"/>
      <c r="R101" s="386"/>
      <c r="S101" s="387"/>
    </row>
    <row r="102" spans="2:19" s="1" customFormat="1" ht="16.5" customHeight="1">
      <c r="B102" s="35"/>
      <c r="C102" s="48"/>
      <c r="D102" s="378">
        <f>RAB!D307</f>
        <v>1</v>
      </c>
      <c r="E102" s="8" t="str">
        <f>RAB!E307</f>
        <v>Pekerjaan Bongkaran</v>
      </c>
      <c r="F102" s="9"/>
      <c r="G102" s="36"/>
      <c r="H102" s="399"/>
      <c r="I102" s="78"/>
      <c r="J102" s="57"/>
      <c r="K102" s="78"/>
      <c r="L102" s="57"/>
      <c r="M102" s="78"/>
      <c r="N102" s="57"/>
      <c r="O102" s="78"/>
      <c r="P102" s="61"/>
      <c r="Q102" s="59"/>
      <c r="R102" s="41">
        <v>1</v>
      </c>
      <c r="S102" s="67" t="s">
        <v>20</v>
      </c>
    </row>
    <row r="103" spans="2:19" s="1" customFormat="1" ht="16.5" customHeight="1">
      <c r="B103" s="35"/>
      <c r="C103" s="48"/>
      <c r="D103" s="378">
        <f>RAB!D308</f>
        <v>2</v>
      </c>
      <c r="E103" s="8" t="str">
        <f>RAB!E308</f>
        <v>Pekerjaan Pembersihan</v>
      </c>
      <c r="F103" s="9"/>
      <c r="G103" s="36"/>
      <c r="H103" s="399"/>
      <c r="I103" s="78"/>
      <c r="J103" s="57"/>
      <c r="K103" s="78"/>
      <c r="L103" s="57"/>
      <c r="M103" s="78"/>
      <c r="N103" s="57"/>
      <c r="O103" s="78"/>
      <c r="P103" s="61"/>
      <c r="Q103" s="59"/>
      <c r="R103" s="41">
        <v>1</v>
      </c>
      <c r="S103" s="67" t="s">
        <v>20</v>
      </c>
    </row>
    <row r="104" spans="2:19" s="1" customFormat="1" ht="16.5" customHeight="1">
      <c r="B104" s="35"/>
      <c r="C104" s="48"/>
      <c r="D104" s="378"/>
      <c r="E104" s="8"/>
      <c r="F104" s="9"/>
      <c r="G104" s="36"/>
      <c r="H104" s="399"/>
      <c r="I104" s="78"/>
      <c r="J104" s="57"/>
      <c r="K104" s="78"/>
      <c r="L104" s="57"/>
      <c r="M104" s="78"/>
      <c r="N104" s="57"/>
      <c r="O104" s="78"/>
      <c r="P104" s="61"/>
      <c r="Q104" s="59"/>
      <c r="R104" s="41"/>
      <c r="S104" s="67"/>
    </row>
    <row r="105" spans="2:19" s="1" customFormat="1" ht="16.5" customHeight="1">
      <c r="B105" s="35"/>
      <c r="C105" s="48"/>
      <c r="D105" s="378" t="str">
        <f>RAB!D310</f>
        <v>PEKERJAAN LANTAI</v>
      </c>
      <c r="E105" s="8"/>
      <c r="F105" s="9"/>
      <c r="G105" s="36"/>
      <c r="H105" s="399"/>
      <c r="I105" s="78"/>
      <c r="J105" s="57"/>
      <c r="K105" s="78"/>
      <c r="L105" s="57"/>
      <c r="M105" s="78"/>
      <c r="N105" s="57"/>
      <c r="O105" s="78"/>
      <c r="P105" s="61"/>
      <c r="Q105" s="59"/>
      <c r="R105" s="41"/>
      <c r="S105" s="67"/>
    </row>
    <row r="106" spans="2:19" s="1" customFormat="1" ht="16.5" customHeight="1">
      <c r="B106" s="35"/>
      <c r="C106" s="48"/>
      <c r="D106" s="378">
        <f>RAB!D311</f>
        <v>1</v>
      </c>
      <c r="E106" s="378" t="str">
        <f>RAB!E311</f>
        <v>Lantai Keramik unpholised 40x40</v>
      </c>
      <c r="F106" s="9"/>
      <c r="G106" s="36"/>
      <c r="H106" s="399"/>
      <c r="I106" s="78"/>
      <c r="J106" s="57"/>
      <c r="K106" s="78"/>
      <c r="L106" s="57"/>
      <c r="M106" s="78"/>
      <c r="N106" s="57"/>
      <c r="O106" s="78"/>
      <c r="P106" s="61"/>
      <c r="Q106" s="59"/>
      <c r="R106" s="41">
        <f>P115</f>
        <v>60.45</v>
      </c>
      <c r="S106" s="67" t="s">
        <v>133</v>
      </c>
    </row>
    <row r="107" spans="2:19" s="1" customFormat="1" ht="16.5" customHeight="1">
      <c r="B107" s="35"/>
      <c r="C107" s="48"/>
      <c r="D107" s="378"/>
      <c r="E107" s="378"/>
      <c r="F107" s="9"/>
      <c r="G107" s="23"/>
      <c r="H107" s="392" t="s">
        <v>428</v>
      </c>
      <c r="I107" s="460"/>
      <c r="J107" s="461" t="s">
        <v>52</v>
      </c>
      <c r="K107" s="78"/>
      <c r="L107" s="57"/>
      <c r="M107" s="78"/>
      <c r="N107" s="57"/>
      <c r="O107" s="79"/>
      <c r="P107" s="61"/>
      <c r="Q107" s="59"/>
      <c r="R107" s="41"/>
      <c r="S107" s="67"/>
    </row>
    <row r="108" spans="2:19" s="1" customFormat="1" ht="16.5" customHeight="1">
      <c r="B108" s="35"/>
      <c r="C108" s="48"/>
      <c r="D108" s="378"/>
      <c r="E108" s="378"/>
      <c r="F108" s="9"/>
      <c r="G108" s="23" t="s">
        <v>516</v>
      </c>
      <c r="H108" s="392">
        <v>30.95</v>
      </c>
      <c r="I108" s="460" t="s">
        <v>49</v>
      </c>
      <c r="J108" s="461">
        <v>1</v>
      </c>
      <c r="K108" s="78"/>
      <c r="L108" s="57"/>
      <c r="M108" s="78"/>
      <c r="N108" s="57"/>
      <c r="O108" s="78" t="s">
        <v>50</v>
      </c>
      <c r="P108" s="58">
        <f>H108*J108</f>
        <v>30.95</v>
      </c>
      <c r="Q108" s="59" t="s">
        <v>133</v>
      </c>
      <c r="R108" s="41"/>
      <c r="S108" s="67"/>
    </row>
    <row r="109" spans="2:19" s="1" customFormat="1" ht="16.5" customHeight="1">
      <c r="B109" s="35"/>
      <c r="C109" s="48"/>
      <c r="D109" s="378"/>
      <c r="E109" s="378"/>
      <c r="F109" s="9"/>
      <c r="G109" s="36" t="s">
        <v>514</v>
      </c>
      <c r="H109" s="392">
        <v>1.5</v>
      </c>
      <c r="I109" s="460" t="s">
        <v>49</v>
      </c>
      <c r="J109" s="461">
        <v>3</v>
      </c>
      <c r="K109" s="78"/>
      <c r="L109" s="57"/>
      <c r="M109" s="78"/>
      <c r="N109" s="57"/>
      <c r="O109" s="78" t="s">
        <v>50</v>
      </c>
      <c r="P109" s="58"/>
      <c r="Q109" s="59" t="s">
        <v>133</v>
      </c>
      <c r="R109" s="41"/>
      <c r="S109" s="67"/>
    </row>
    <row r="110" spans="2:19" s="1" customFormat="1" ht="16.5" customHeight="1">
      <c r="B110" s="35"/>
      <c r="C110" s="48"/>
      <c r="D110" s="378"/>
      <c r="E110" s="378"/>
      <c r="F110" s="9"/>
      <c r="G110" s="36" t="s">
        <v>515</v>
      </c>
      <c r="H110" s="392">
        <v>1.8</v>
      </c>
      <c r="I110" s="460" t="s">
        <v>49</v>
      </c>
      <c r="J110" s="461">
        <v>2</v>
      </c>
      <c r="K110" s="78"/>
      <c r="L110" s="57"/>
      <c r="M110" s="78"/>
      <c r="N110" s="57"/>
      <c r="O110" s="78" t="s">
        <v>50</v>
      </c>
      <c r="P110" s="58"/>
      <c r="Q110" s="59" t="s">
        <v>133</v>
      </c>
      <c r="R110" s="41"/>
      <c r="S110" s="67"/>
    </row>
    <row r="111" spans="2:19" s="1" customFormat="1" ht="16.5" customHeight="1">
      <c r="B111" s="35"/>
      <c r="C111" s="48"/>
      <c r="D111" s="378"/>
      <c r="E111" s="378"/>
      <c r="F111" s="9"/>
      <c r="G111" s="36"/>
      <c r="H111" s="399"/>
      <c r="I111" s="78"/>
      <c r="J111" s="57"/>
      <c r="K111" s="78"/>
      <c r="L111" s="57"/>
      <c r="M111" s="78"/>
      <c r="N111" s="57"/>
      <c r="O111" s="78"/>
      <c r="P111" s="61"/>
      <c r="Q111" s="59"/>
      <c r="R111" s="41"/>
      <c r="S111" s="67"/>
    </row>
    <row r="112" spans="2:19" s="1" customFormat="1" ht="16.5" customHeight="1">
      <c r="B112" s="35"/>
      <c r="C112" s="48"/>
      <c r="D112" s="378"/>
      <c r="E112" s="378"/>
      <c r="F112" s="9"/>
      <c r="G112" s="23" t="s">
        <v>513</v>
      </c>
      <c r="H112" s="392">
        <v>29.5</v>
      </c>
      <c r="I112" s="460" t="s">
        <v>49</v>
      </c>
      <c r="J112" s="461">
        <v>1</v>
      </c>
      <c r="K112" s="78"/>
      <c r="L112" s="57"/>
      <c r="M112" s="78"/>
      <c r="N112" s="57"/>
      <c r="O112" s="78" t="s">
        <v>50</v>
      </c>
      <c r="P112" s="58">
        <f>H112*J112</f>
        <v>29.5</v>
      </c>
      <c r="Q112" s="59" t="s">
        <v>133</v>
      </c>
      <c r="R112" s="41"/>
      <c r="S112" s="67"/>
    </row>
    <row r="113" spans="2:19" s="1" customFormat="1" ht="16.5" customHeight="1">
      <c r="B113" s="35"/>
      <c r="C113" s="48"/>
      <c r="D113" s="378"/>
      <c r="E113" s="378"/>
      <c r="F113" s="9"/>
      <c r="G113" s="36" t="s">
        <v>514</v>
      </c>
      <c r="H113" s="392">
        <v>1.5</v>
      </c>
      <c r="I113" s="460" t="s">
        <v>49</v>
      </c>
      <c r="J113" s="461">
        <v>2</v>
      </c>
      <c r="K113" s="78"/>
      <c r="L113" s="57"/>
      <c r="M113" s="78"/>
      <c r="N113" s="57"/>
      <c r="O113" s="78" t="s">
        <v>50</v>
      </c>
      <c r="P113" s="58"/>
      <c r="Q113" s="59" t="s">
        <v>133</v>
      </c>
      <c r="R113" s="41"/>
      <c r="S113" s="67"/>
    </row>
    <row r="114" spans="2:19" s="1" customFormat="1" ht="16.5" customHeight="1">
      <c r="B114" s="35"/>
      <c r="C114" s="48"/>
      <c r="D114" s="378"/>
      <c r="E114" s="378"/>
      <c r="F114" s="9"/>
      <c r="G114" s="36" t="s">
        <v>515</v>
      </c>
      <c r="H114" s="392">
        <v>1.8</v>
      </c>
      <c r="I114" s="460" t="s">
        <v>49</v>
      </c>
      <c r="J114" s="461">
        <v>2</v>
      </c>
      <c r="K114" s="78"/>
      <c r="L114" s="57"/>
      <c r="M114" s="78"/>
      <c r="N114" s="57"/>
      <c r="O114" s="78" t="s">
        <v>50</v>
      </c>
      <c r="P114" s="58"/>
      <c r="Q114" s="59" t="s">
        <v>133</v>
      </c>
      <c r="R114" s="41"/>
      <c r="S114" s="67"/>
    </row>
    <row r="115" spans="2:19" s="1" customFormat="1" ht="16.5" customHeight="1">
      <c r="B115" s="35"/>
      <c r="C115" s="48"/>
      <c r="D115" s="378"/>
      <c r="E115" s="378"/>
      <c r="F115" s="9"/>
      <c r="G115" s="36"/>
      <c r="H115" s="399"/>
      <c r="I115" s="78"/>
      <c r="J115" s="57"/>
      <c r="K115" s="78"/>
      <c r="L115" s="57"/>
      <c r="M115" s="78"/>
      <c r="N115" s="57"/>
      <c r="O115" s="78" t="s">
        <v>50</v>
      </c>
      <c r="P115" s="61">
        <f>SUM(P108:P114)</f>
        <v>60.45</v>
      </c>
      <c r="Q115" s="413" t="s">
        <v>133</v>
      </c>
      <c r="R115" s="41"/>
      <c r="S115" s="67"/>
    </row>
    <row r="116" spans="2:19" s="1" customFormat="1" ht="16.5" customHeight="1">
      <c r="B116" s="35"/>
      <c r="C116" s="48"/>
      <c r="D116" s="378"/>
      <c r="E116" s="378"/>
      <c r="F116" s="9"/>
      <c r="G116" s="36"/>
      <c r="H116" s="399"/>
      <c r="I116" s="78"/>
      <c r="J116" s="57"/>
      <c r="K116" s="78"/>
      <c r="L116" s="57"/>
      <c r="M116" s="78"/>
      <c r="N116" s="57"/>
      <c r="O116" s="78"/>
      <c r="P116" s="61"/>
      <c r="Q116" s="59"/>
      <c r="R116" s="41"/>
      <c r="S116" s="67"/>
    </row>
    <row r="117" spans="2:19" s="1" customFormat="1" ht="16.5" customHeight="1">
      <c r="B117" s="35"/>
      <c r="C117" s="48"/>
      <c r="D117" s="378">
        <f>RAB!D312</f>
        <v>2</v>
      </c>
      <c r="E117" s="378" t="str">
        <f>RAB!E312</f>
        <v xml:space="preserve">Sisip Keramik Dinding </v>
      </c>
      <c r="F117" s="9"/>
      <c r="G117" s="36"/>
      <c r="H117" s="399"/>
      <c r="I117" s="78"/>
      <c r="J117" s="57"/>
      <c r="K117" s="78"/>
      <c r="L117" s="57"/>
      <c r="M117" s="78"/>
      <c r="N117" s="57"/>
      <c r="O117" s="78"/>
      <c r="P117" s="61"/>
      <c r="Q117" s="59"/>
      <c r="R117" s="41">
        <f>P119</f>
        <v>15</v>
      </c>
      <c r="S117" s="67" t="s">
        <v>133</v>
      </c>
    </row>
    <row r="118" spans="2:19" s="1" customFormat="1" ht="16.5" customHeight="1">
      <c r="B118" s="35"/>
      <c r="C118" s="48"/>
      <c r="D118" s="378"/>
      <c r="E118" s="378"/>
      <c r="F118" s="9"/>
      <c r="G118" s="36"/>
      <c r="H118" s="392" t="s">
        <v>408</v>
      </c>
      <c r="I118" s="460"/>
      <c r="J118" s="461" t="s">
        <v>226</v>
      </c>
      <c r="K118" s="78"/>
      <c r="L118" s="57"/>
      <c r="M118" s="78"/>
      <c r="N118" s="57"/>
      <c r="O118" s="79"/>
      <c r="P118" s="61"/>
      <c r="Q118" s="59"/>
      <c r="R118" s="41"/>
      <c r="S118" s="67"/>
    </row>
    <row r="119" spans="2:19" s="1" customFormat="1" ht="16.5" customHeight="1">
      <c r="B119" s="35"/>
      <c r="C119" s="48"/>
      <c r="D119" s="378"/>
      <c r="E119" s="378"/>
      <c r="F119" s="9"/>
      <c r="G119" s="36"/>
      <c r="H119" s="392">
        <v>5</v>
      </c>
      <c r="I119" s="460" t="s">
        <v>49</v>
      </c>
      <c r="J119" s="461">
        <v>3</v>
      </c>
      <c r="K119" s="78"/>
      <c r="L119" s="57"/>
      <c r="M119" s="78"/>
      <c r="N119" s="57"/>
      <c r="O119" s="78" t="s">
        <v>50</v>
      </c>
      <c r="P119" s="61">
        <f>H119*J119</f>
        <v>15</v>
      </c>
      <c r="Q119" s="413" t="s">
        <v>133</v>
      </c>
      <c r="R119" s="41"/>
      <c r="S119" s="67"/>
    </row>
    <row r="120" spans="2:19" s="1" customFormat="1" ht="16.5" customHeight="1">
      <c r="B120" s="35"/>
      <c r="C120" s="48"/>
      <c r="D120" s="378"/>
      <c r="E120" s="378"/>
      <c r="F120" s="9"/>
      <c r="G120" s="36"/>
      <c r="H120" s="399"/>
      <c r="I120" s="78"/>
      <c r="J120" s="57"/>
      <c r="K120" s="78"/>
      <c r="L120" s="57"/>
      <c r="M120" s="78"/>
      <c r="N120" s="57"/>
      <c r="O120" s="78"/>
      <c r="P120" s="61"/>
      <c r="Q120" s="59"/>
      <c r="R120" s="41"/>
      <c r="S120" s="67"/>
    </row>
    <row r="121" spans="2:19" s="1" customFormat="1" ht="16.5" customHeight="1">
      <c r="B121" s="35"/>
      <c r="C121" s="48"/>
      <c r="D121" s="378">
        <f>RAB!D313</f>
        <v>3</v>
      </c>
      <c r="E121" s="378" t="str">
        <f>RAB!E313</f>
        <v>Waterprofing Lantai</v>
      </c>
      <c r="F121" s="9"/>
      <c r="G121" s="36"/>
      <c r="H121" s="399"/>
      <c r="I121" s="78"/>
      <c r="J121" s="57"/>
      <c r="K121" s="78"/>
      <c r="L121" s="57"/>
      <c r="M121" s="78"/>
      <c r="N121" s="57"/>
      <c r="O121" s="78"/>
      <c r="P121" s="61"/>
      <c r="Q121" s="59"/>
      <c r="R121" s="41">
        <f>R106</f>
        <v>60.45</v>
      </c>
      <c r="S121" s="67" t="s">
        <v>133</v>
      </c>
    </row>
    <row r="122" spans="2:19" s="1" customFormat="1" ht="16.5" customHeight="1">
      <c r="B122" s="35"/>
      <c r="C122" s="48"/>
      <c r="D122" s="378"/>
      <c r="E122" s="378"/>
      <c r="F122" s="9"/>
      <c r="G122" s="36"/>
      <c r="H122" s="399"/>
      <c r="I122" s="78"/>
      <c r="J122" s="57"/>
      <c r="K122" s="78"/>
      <c r="L122" s="57"/>
      <c r="M122" s="78"/>
      <c r="N122" s="57"/>
      <c r="O122" s="78"/>
      <c r="P122" s="61"/>
      <c r="Q122" s="59"/>
      <c r="R122" s="41"/>
      <c r="S122" s="67"/>
    </row>
    <row r="123" spans="2:19" s="1" customFormat="1" ht="16.5" customHeight="1">
      <c r="B123" s="35"/>
      <c r="C123" s="48"/>
      <c r="D123" s="378" t="str">
        <f>RAB!D315</f>
        <v>PEKERJAAN INSTALASI LISTRIK</v>
      </c>
      <c r="E123" s="8"/>
      <c r="F123" s="9"/>
      <c r="G123" s="36"/>
      <c r="H123" s="399"/>
      <c r="I123" s="78"/>
      <c r="J123" s="57"/>
      <c r="K123" s="78"/>
      <c r="L123" s="57"/>
      <c r="M123" s="78"/>
      <c r="N123" s="57"/>
      <c r="O123" s="78"/>
      <c r="P123" s="61"/>
      <c r="Q123" s="59"/>
      <c r="R123" s="41"/>
      <c r="S123" s="67"/>
    </row>
    <row r="124" spans="2:19" s="1" customFormat="1" ht="16.5" customHeight="1">
      <c r="B124" s="35"/>
      <c r="C124" s="48"/>
      <c r="D124" s="378">
        <f>RAB!D317</f>
        <v>2</v>
      </c>
      <c r="E124" s="8" t="str">
        <f>RAB!E317</f>
        <v>Lampu LED 7 watt + Fitting Downlight</v>
      </c>
      <c r="F124" s="9"/>
      <c r="G124" s="36"/>
      <c r="H124" s="399"/>
      <c r="I124" s="78"/>
      <c r="J124" s="57"/>
      <c r="K124" s="78"/>
      <c r="L124" s="57"/>
      <c r="M124" s="78"/>
      <c r="N124" s="57"/>
      <c r="O124" s="78"/>
      <c r="P124" s="61"/>
      <c r="Q124" s="59"/>
      <c r="R124" s="41">
        <v>19</v>
      </c>
      <c r="S124" s="67" t="s">
        <v>62</v>
      </c>
    </row>
    <row r="125" spans="2:19" s="1" customFormat="1" ht="16.5" customHeight="1">
      <c r="B125" s="35"/>
      <c r="C125" s="48"/>
      <c r="D125" s="378"/>
      <c r="E125" s="8"/>
      <c r="F125" s="9"/>
      <c r="G125" s="36"/>
      <c r="H125" s="399"/>
      <c r="I125" s="78"/>
      <c r="J125" s="57"/>
      <c r="K125" s="78"/>
      <c r="L125" s="57"/>
      <c r="M125" s="78"/>
      <c r="N125" s="57"/>
      <c r="O125" s="78"/>
      <c r="P125" s="61"/>
      <c r="Q125" s="59"/>
      <c r="R125" s="41"/>
      <c r="S125" s="67"/>
    </row>
    <row r="126" spans="2:19" s="1" customFormat="1" ht="16.5" customHeight="1">
      <c r="B126" s="35"/>
      <c r="C126" s="48"/>
      <c r="D126" s="378" t="str">
        <f>RAB!D319</f>
        <v>PEKERJAAN SANITAIR</v>
      </c>
      <c r="E126" s="8"/>
      <c r="F126" s="9"/>
      <c r="G126" s="36"/>
      <c r="H126" s="399"/>
      <c r="I126" s="78"/>
      <c r="J126" s="57"/>
      <c r="K126" s="78"/>
      <c r="L126" s="57"/>
      <c r="M126" s="78"/>
      <c r="N126" s="57"/>
      <c r="O126" s="78"/>
      <c r="P126" s="61"/>
      <c r="Q126" s="59"/>
      <c r="R126" s="41"/>
      <c r="S126" s="67"/>
    </row>
    <row r="127" spans="2:19" s="1" customFormat="1" ht="16.5" customHeight="1">
      <c r="B127" s="35"/>
      <c r="C127" s="48"/>
      <c r="D127" s="378">
        <f>RAB!D320</f>
        <v>1</v>
      </c>
      <c r="E127" s="8" t="str">
        <f>RAB!E320</f>
        <v>Kran Air Stainless 1/2"</v>
      </c>
      <c r="F127" s="9"/>
      <c r="G127" s="36"/>
      <c r="H127" s="399"/>
      <c r="I127" s="78"/>
      <c r="J127" s="57"/>
      <c r="K127" s="78"/>
      <c r="L127" s="57"/>
      <c r="M127" s="78"/>
      <c r="N127" s="57"/>
      <c r="O127" s="78"/>
      <c r="P127" s="61"/>
      <c r="Q127" s="59"/>
      <c r="R127" s="41">
        <v>9</v>
      </c>
      <c r="S127" s="67" t="s">
        <v>62</v>
      </c>
    </row>
    <row r="128" spans="2:19" s="1" customFormat="1" ht="16.5" customHeight="1">
      <c r="B128" s="35"/>
      <c r="C128" s="48"/>
      <c r="D128" s="378">
        <f>RAB!D321</f>
        <v>2</v>
      </c>
      <c r="E128" s="8" t="str">
        <f>RAB!E321</f>
        <v>Push Kran Urinoir</v>
      </c>
      <c r="F128" s="9"/>
      <c r="G128" s="36"/>
      <c r="H128" s="399"/>
      <c r="I128" s="78"/>
      <c r="J128" s="57"/>
      <c r="K128" s="78"/>
      <c r="L128" s="57"/>
      <c r="M128" s="78"/>
      <c r="N128" s="57"/>
      <c r="O128" s="78"/>
      <c r="P128" s="61"/>
      <c r="Q128" s="59"/>
      <c r="R128" s="41">
        <v>8</v>
      </c>
      <c r="S128" s="67" t="s">
        <v>62</v>
      </c>
    </row>
    <row r="129" spans="2:19" s="1" customFormat="1" ht="16.5" customHeight="1">
      <c r="B129" s="35"/>
      <c r="C129" s="48"/>
      <c r="D129" s="378">
        <f>RAB!D322</f>
        <v>3</v>
      </c>
      <c r="E129" s="8" t="str">
        <f>RAB!E322</f>
        <v>Floordrain</v>
      </c>
      <c r="F129" s="9"/>
      <c r="G129" s="36"/>
      <c r="H129" s="399"/>
      <c r="I129" s="78"/>
      <c r="J129" s="57"/>
      <c r="K129" s="78"/>
      <c r="L129" s="57"/>
      <c r="M129" s="78"/>
      <c r="N129" s="57"/>
      <c r="O129" s="78"/>
      <c r="P129" s="61"/>
      <c r="Q129" s="59"/>
      <c r="R129" s="41">
        <v>9</v>
      </c>
      <c r="S129" s="67" t="s">
        <v>62</v>
      </c>
    </row>
    <row r="130" spans="2:19" s="1" customFormat="1" ht="16.5" customHeight="1">
      <c r="B130" s="35"/>
      <c r="C130" s="48"/>
      <c r="D130" s="378"/>
      <c r="E130" s="8"/>
      <c r="F130" s="9"/>
      <c r="G130" s="36"/>
      <c r="H130" s="399"/>
      <c r="I130" s="78"/>
      <c r="J130" s="57"/>
      <c r="K130" s="78"/>
      <c r="L130" s="57"/>
      <c r="M130" s="78"/>
      <c r="N130" s="57"/>
      <c r="O130" s="78"/>
      <c r="P130" s="61"/>
      <c r="Q130" s="59"/>
      <c r="R130" s="41"/>
      <c r="S130" s="67"/>
    </row>
    <row r="131" spans="2:19" s="1" customFormat="1" ht="16.5" customHeight="1">
      <c r="B131" s="35"/>
      <c r="C131" s="48"/>
      <c r="D131" s="378" t="str">
        <f>RAB!D332</f>
        <v xml:space="preserve">PEKERJAAN PINTU </v>
      </c>
      <c r="E131" s="8"/>
      <c r="F131" s="9"/>
      <c r="G131" s="36"/>
      <c r="H131" s="399"/>
      <c r="I131" s="78"/>
      <c r="J131" s="57"/>
      <c r="K131" s="78"/>
      <c r="L131" s="57"/>
      <c r="M131" s="78"/>
      <c r="N131" s="57"/>
      <c r="O131" s="78"/>
      <c r="P131" s="61"/>
      <c r="Q131" s="59"/>
      <c r="R131" s="41"/>
      <c r="S131" s="67"/>
    </row>
    <row r="132" spans="2:19" s="1" customFormat="1" ht="16.5" customHeight="1">
      <c r="B132" s="35"/>
      <c r="C132" s="48"/>
      <c r="D132" s="378">
        <f>RAB!D333</f>
        <v>1</v>
      </c>
      <c r="E132" s="8" t="str">
        <f>RAB!E333</f>
        <v>Pas. Kunci Tanam</v>
      </c>
      <c r="F132" s="9"/>
      <c r="G132" s="36"/>
      <c r="H132" s="399"/>
      <c r="I132" s="78"/>
      <c r="J132" s="57"/>
      <c r="K132" s="78"/>
      <c r="L132" s="57"/>
      <c r="M132" s="78"/>
      <c r="N132" s="57"/>
      <c r="O132" s="78"/>
      <c r="P132" s="61"/>
      <c r="Q132" s="59"/>
      <c r="R132" s="41">
        <v>2</v>
      </c>
      <c r="S132" s="67" t="s">
        <v>62</v>
      </c>
    </row>
    <row r="133" spans="2:19" s="1" customFormat="1" ht="16.5" customHeight="1">
      <c r="B133" s="35"/>
      <c r="C133" s="48"/>
      <c r="D133" s="378">
        <f>RAB!D334</f>
        <v>2</v>
      </c>
      <c r="E133" s="8" t="str">
        <f>RAB!E334</f>
        <v>Pas. Pintu Toilet Aluminium</v>
      </c>
      <c r="F133" s="9"/>
      <c r="G133" s="36"/>
      <c r="H133" s="399"/>
      <c r="I133" s="78"/>
      <c r="J133" s="57"/>
      <c r="K133" s="78"/>
      <c r="L133" s="57"/>
      <c r="M133" s="78"/>
      <c r="N133" s="57"/>
      <c r="O133" s="78"/>
      <c r="P133" s="61"/>
      <c r="Q133" s="59"/>
      <c r="R133" s="41">
        <v>9</v>
      </c>
      <c r="S133" s="67" t="s">
        <v>62</v>
      </c>
    </row>
    <row r="134" spans="2:19" s="1" customFormat="1" ht="16.5" customHeight="1">
      <c r="B134" s="35"/>
      <c r="C134" s="48"/>
      <c r="D134" s="378"/>
      <c r="E134" s="8"/>
      <c r="F134" s="9"/>
      <c r="G134" s="36"/>
      <c r="H134" s="399"/>
      <c r="I134" s="78"/>
      <c r="J134" s="57"/>
      <c r="K134" s="78"/>
      <c r="L134" s="57"/>
      <c r="M134" s="78"/>
      <c r="N134" s="57"/>
      <c r="O134" s="78"/>
      <c r="P134" s="61"/>
      <c r="Q134" s="59"/>
      <c r="R134" s="41"/>
      <c r="S134" s="67"/>
    </row>
    <row r="135" spans="2:19" s="1" customFormat="1" ht="16.5" customHeight="1">
      <c r="B135" s="35"/>
      <c r="C135" s="48"/>
      <c r="D135" s="378" t="str">
        <f>RAB!D336</f>
        <v>PEKERJAAN PENGECATAN</v>
      </c>
      <c r="E135" s="8"/>
      <c r="F135" s="9"/>
      <c r="G135" s="36"/>
      <c r="H135" s="399"/>
      <c r="I135" s="78"/>
      <c r="J135" s="57"/>
      <c r="K135" s="78"/>
      <c r="L135" s="57"/>
      <c r="M135" s="78"/>
      <c r="N135" s="57"/>
      <c r="O135" s="78"/>
      <c r="P135" s="61"/>
      <c r="Q135" s="59"/>
      <c r="R135" s="41"/>
      <c r="S135" s="67"/>
    </row>
    <row r="136" spans="2:19" s="1" customFormat="1" ht="16.5" customHeight="1">
      <c r="B136" s="35"/>
      <c r="C136" s="48"/>
      <c r="D136" s="378">
        <f>RAB!D337</f>
        <v>1</v>
      </c>
      <c r="E136" s="8" t="str">
        <f>RAB!E337</f>
        <v>Pengecatan Cat Tembok Dinding Interior</v>
      </c>
      <c r="F136" s="9"/>
      <c r="G136" s="36"/>
      <c r="H136" s="399"/>
      <c r="I136" s="78"/>
      <c r="J136" s="57"/>
      <c r="K136" s="78"/>
      <c r="L136" s="57"/>
      <c r="M136" s="78"/>
      <c r="N136" s="57"/>
      <c r="O136" s="78"/>
      <c r="P136" s="61"/>
      <c r="Q136" s="59"/>
      <c r="R136" s="41">
        <f>P140</f>
        <v>82.07</v>
      </c>
      <c r="S136" s="67" t="s">
        <v>133</v>
      </c>
    </row>
    <row r="137" spans="2:19" s="1" customFormat="1" ht="16.5" customHeight="1">
      <c r="B137" s="35"/>
      <c r="C137" s="48"/>
      <c r="D137" s="378"/>
      <c r="E137" s="8"/>
      <c r="F137" s="9"/>
      <c r="G137" s="36"/>
      <c r="H137" s="392" t="s">
        <v>408</v>
      </c>
      <c r="I137" s="460"/>
      <c r="J137" s="461" t="s">
        <v>226</v>
      </c>
      <c r="K137" s="460"/>
      <c r="L137" s="461" t="s">
        <v>52</v>
      </c>
      <c r="M137" s="78"/>
      <c r="N137" s="57"/>
      <c r="O137" s="78"/>
      <c r="P137" s="61"/>
      <c r="Q137" s="59"/>
      <c r="R137" s="41"/>
      <c r="S137" s="67"/>
    </row>
    <row r="138" spans="2:19" s="1" customFormat="1" ht="16.5" customHeight="1">
      <c r="B138" s="35"/>
      <c r="C138" s="48"/>
      <c r="D138" s="378"/>
      <c r="E138" s="8"/>
      <c r="F138" s="9"/>
      <c r="G138" s="36" t="s">
        <v>423</v>
      </c>
      <c r="H138" s="392">
        <v>5</v>
      </c>
      <c r="I138" s="460" t="s">
        <v>49</v>
      </c>
      <c r="J138" s="461">
        <v>1</v>
      </c>
      <c r="K138" s="460" t="s">
        <v>49</v>
      </c>
      <c r="L138" s="461">
        <f>R133</f>
        <v>9</v>
      </c>
      <c r="M138" s="78"/>
      <c r="N138" s="57"/>
      <c r="O138" s="78" t="s">
        <v>50</v>
      </c>
      <c r="P138" s="58">
        <f>H138*J138*L138</f>
        <v>45</v>
      </c>
      <c r="Q138" s="59" t="s">
        <v>133</v>
      </c>
      <c r="R138" s="41"/>
      <c r="S138" s="67"/>
    </row>
    <row r="139" spans="2:19" s="1" customFormat="1" ht="16.5" customHeight="1">
      <c r="B139" s="35"/>
      <c r="C139" s="48"/>
      <c r="D139" s="378"/>
      <c r="E139" s="8"/>
      <c r="F139" s="9"/>
      <c r="G139" s="36"/>
      <c r="H139" s="392">
        <v>37.07</v>
      </c>
      <c r="I139" s="460" t="s">
        <v>49</v>
      </c>
      <c r="J139" s="461">
        <v>1</v>
      </c>
      <c r="K139" s="460" t="s">
        <v>49</v>
      </c>
      <c r="L139" s="461">
        <v>1</v>
      </c>
      <c r="M139" s="78"/>
      <c r="N139" s="57"/>
      <c r="O139" s="78" t="s">
        <v>50</v>
      </c>
      <c r="P139" s="58">
        <f>H139*J139*L139</f>
        <v>37.07</v>
      </c>
      <c r="Q139" s="59" t="s">
        <v>133</v>
      </c>
      <c r="R139" s="41"/>
      <c r="S139" s="67"/>
    </row>
    <row r="140" spans="2:19" s="1" customFormat="1" ht="16.5" customHeight="1">
      <c r="B140" s="35"/>
      <c r="C140" s="48"/>
      <c r="D140" s="378"/>
      <c r="E140" s="8"/>
      <c r="F140" s="9"/>
      <c r="G140" s="36"/>
      <c r="H140" s="392"/>
      <c r="I140" s="460"/>
      <c r="J140" s="461"/>
      <c r="K140" s="460"/>
      <c r="L140" s="461"/>
      <c r="M140" s="78"/>
      <c r="N140" s="57"/>
      <c r="O140" s="78" t="s">
        <v>50</v>
      </c>
      <c r="P140" s="61">
        <f>SUM(P138:P139)</f>
        <v>82.07</v>
      </c>
      <c r="Q140" s="413" t="s">
        <v>133</v>
      </c>
      <c r="R140" s="41"/>
      <c r="S140" s="67"/>
    </row>
    <row r="141" spans="2:19" s="1" customFormat="1" ht="16.5" customHeight="1">
      <c r="B141" s="35"/>
      <c r="C141" s="48"/>
      <c r="D141" s="378"/>
      <c r="E141" s="8"/>
      <c r="F141" s="9"/>
      <c r="G141" s="36"/>
      <c r="H141" s="399"/>
      <c r="I141" s="78"/>
      <c r="J141" s="57"/>
      <c r="K141" s="78"/>
      <c r="L141" s="57"/>
      <c r="M141" s="78"/>
      <c r="N141" s="57"/>
      <c r="O141" s="78"/>
      <c r="P141" s="61"/>
      <c r="Q141" s="59"/>
      <c r="R141" s="41"/>
      <c r="S141" s="67"/>
    </row>
    <row r="142" spans="2:19" s="1" customFormat="1" ht="16.5" customHeight="1">
      <c r="B142" s="381"/>
      <c r="C142" s="465" t="str">
        <f>RAB!C340</f>
        <v>F.4</v>
      </c>
      <c r="D142" s="382" t="str">
        <f>RAB!D340</f>
        <v>PEKERJAAN KAMAR MANDI - D</v>
      </c>
      <c r="E142" s="383"/>
      <c r="F142" s="383"/>
      <c r="G142" s="384"/>
      <c r="H142" s="400"/>
      <c r="I142" s="385"/>
      <c r="J142" s="389"/>
      <c r="K142" s="385"/>
      <c r="L142" s="389"/>
      <c r="M142" s="385"/>
      <c r="N142" s="389"/>
      <c r="O142" s="385"/>
      <c r="P142" s="466"/>
      <c r="Q142" s="467"/>
      <c r="R142" s="386"/>
      <c r="S142" s="387"/>
    </row>
    <row r="143" spans="2:19" s="1" customFormat="1" ht="16.5" customHeight="1">
      <c r="B143" s="35"/>
      <c r="C143" s="48"/>
      <c r="D143" s="378">
        <f>RAB!D342</f>
        <v>1</v>
      </c>
      <c r="E143" s="8" t="str">
        <f>RAB!E342</f>
        <v>Pekerjaan Bongkaran</v>
      </c>
      <c r="F143" s="9"/>
      <c r="G143" s="36"/>
      <c r="H143" s="399"/>
      <c r="I143" s="78"/>
      <c r="J143" s="57"/>
      <c r="K143" s="78"/>
      <c r="L143" s="57"/>
      <c r="M143" s="78"/>
      <c r="N143" s="57"/>
      <c r="O143" s="78"/>
      <c r="P143" s="61"/>
      <c r="Q143" s="59"/>
      <c r="R143" s="41">
        <v>1</v>
      </c>
      <c r="S143" s="67" t="s">
        <v>20</v>
      </c>
    </row>
    <row r="144" spans="2:19" s="1" customFormat="1" ht="16.5" customHeight="1">
      <c r="B144" s="35"/>
      <c r="C144" s="48"/>
      <c r="D144" s="378">
        <f>RAB!D343</f>
        <v>2</v>
      </c>
      <c r="E144" s="8" t="str">
        <f>RAB!E343</f>
        <v>Pekerjaan Pembersihan</v>
      </c>
      <c r="F144" s="9"/>
      <c r="G144" s="36"/>
      <c r="H144" s="399"/>
      <c r="I144" s="78"/>
      <c r="J144" s="57"/>
      <c r="K144" s="78"/>
      <c r="L144" s="57"/>
      <c r="M144" s="78"/>
      <c r="N144" s="57"/>
      <c r="O144" s="78"/>
      <c r="P144" s="61"/>
      <c r="Q144" s="59"/>
      <c r="R144" s="41">
        <v>1</v>
      </c>
      <c r="S144" s="67" t="s">
        <v>20</v>
      </c>
    </row>
    <row r="145" spans="2:19" s="1" customFormat="1" ht="16.5" customHeight="1">
      <c r="B145" s="35"/>
      <c r="C145" s="48"/>
      <c r="D145" s="378"/>
      <c r="E145" s="8"/>
      <c r="F145" s="9"/>
      <c r="G145" s="36"/>
      <c r="H145" s="399"/>
      <c r="I145" s="78"/>
      <c r="J145" s="57"/>
      <c r="K145" s="78"/>
      <c r="L145" s="57"/>
      <c r="M145" s="78"/>
      <c r="N145" s="57"/>
      <c r="O145" s="78"/>
      <c r="P145" s="61"/>
      <c r="Q145" s="59"/>
      <c r="R145" s="41"/>
      <c r="S145" s="67"/>
    </row>
    <row r="146" spans="2:19" s="1" customFormat="1" ht="16.5" customHeight="1">
      <c r="B146" s="35"/>
      <c r="C146" s="48"/>
      <c r="D146" s="378" t="str">
        <f>RAB!D345</f>
        <v>PEKERJAAN LANTAI</v>
      </c>
      <c r="E146" s="8"/>
      <c r="F146" s="9"/>
      <c r="G146" s="36"/>
      <c r="H146" s="399"/>
      <c r="I146" s="78"/>
      <c r="J146" s="57"/>
      <c r="K146" s="78"/>
      <c r="L146" s="57"/>
      <c r="M146" s="78"/>
      <c r="N146" s="57"/>
      <c r="O146" s="78"/>
      <c r="P146" s="61"/>
      <c r="Q146" s="59"/>
      <c r="R146" s="41"/>
      <c r="S146" s="67"/>
    </row>
    <row r="147" spans="2:19" s="1" customFormat="1" ht="16.5" customHeight="1">
      <c r="B147" s="35"/>
      <c r="C147" s="48"/>
      <c r="D147" s="378">
        <f>RAB!D346</f>
        <v>1</v>
      </c>
      <c r="E147" s="8" t="str">
        <f>RAB!E346</f>
        <v>Lantai Keramik unpholised 40x40</v>
      </c>
      <c r="F147" s="9"/>
      <c r="G147" s="36"/>
      <c r="H147" s="399"/>
      <c r="I147" s="78"/>
      <c r="J147" s="57"/>
      <c r="K147" s="78"/>
      <c r="L147" s="57"/>
      <c r="M147" s="78"/>
      <c r="N147" s="57"/>
      <c r="O147" s="78"/>
      <c r="P147" s="61"/>
      <c r="Q147" s="59"/>
      <c r="R147" s="41">
        <f>P156</f>
        <v>60.45</v>
      </c>
      <c r="S147" s="67" t="s">
        <v>133</v>
      </c>
    </row>
    <row r="148" spans="2:19" s="1" customFormat="1" ht="16.5" customHeight="1">
      <c r="B148" s="35"/>
      <c r="C148" s="48"/>
      <c r="D148" s="378"/>
      <c r="E148" s="8"/>
      <c r="F148" s="9"/>
      <c r="G148" s="23"/>
      <c r="H148" s="392" t="s">
        <v>428</v>
      </c>
      <c r="I148" s="460"/>
      <c r="J148" s="461" t="s">
        <v>52</v>
      </c>
      <c r="K148" s="78"/>
      <c r="L148" s="57"/>
      <c r="M148" s="78"/>
      <c r="N148" s="57"/>
      <c r="O148" s="79"/>
      <c r="P148" s="61"/>
      <c r="Q148" s="59"/>
      <c r="R148" s="41"/>
      <c r="S148" s="67"/>
    </row>
    <row r="149" spans="2:19" s="1" customFormat="1" ht="16.5" customHeight="1">
      <c r="B149" s="35"/>
      <c r="C149" s="48"/>
      <c r="D149" s="378"/>
      <c r="E149" s="8"/>
      <c r="F149" s="9"/>
      <c r="G149" s="23" t="s">
        <v>516</v>
      </c>
      <c r="H149" s="392">
        <v>30.95</v>
      </c>
      <c r="I149" s="460" t="s">
        <v>49</v>
      </c>
      <c r="J149" s="461">
        <v>1</v>
      </c>
      <c r="K149" s="78"/>
      <c r="L149" s="57"/>
      <c r="M149" s="78"/>
      <c r="N149" s="57"/>
      <c r="O149" s="78" t="s">
        <v>50</v>
      </c>
      <c r="P149" s="58">
        <f>H149*J149</f>
        <v>30.95</v>
      </c>
      <c r="Q149" s="59" t="s">
        <v>133</v>
      </c>
      <c r="R149" s="41"/>
      <c r="S149" s="67"/>
    </row>
    <row r="150" spans="2:19" s="1" customFormat="1" ht="16.5" customHeight="1">
      <c r="B150" s="35"/>
      <c r="C150" s="48"/>
      <c r="D150" s="378"/>
      <c r="E150" s="8"/>
      <c r="F150" s="9"/>
      <c r="G150" s="36" t="s">
        <v>514</v>
      </c>
      <c r="H150" s="392">
        <v>1.5</v>
      </c>
      <c r="I150" s="460" t="s">
        <v>49</v>
      </c>
      <c r="J150" s="461">
        <v>3</v>
      </c>
      <c r="K150" s="78"/>
      <c r="L150" s="57"/>
      <c r="M150" s="78"/>
      <c r="N150" s="57"/>
      <c r="O150" s="78" t="s">
        <v>50</v>
      </c>
      <c r="P150" s="58"/>
      <c r="Q150" s="59" t="s">
        <v>133</v>
      </c>
      <c r="R150" s="41"/>
      <c r="S150" s="67"/>
    </row>
    <row r="151" spans="2:19" s="1" customFormat="1" ht="16.5" customHeight="1">
      <c r="B151" s="35"/>
      <c r="C151" s="48"/>
      <c r="D151" s="378"/>
      <c r="E151" s="8"/>
      <c r="F151" s="9"/>
      <c r="G151" s="36" t="s">
        <v>515</v>
      </c>
      <c r="H151" s="392">
        <v>1.8</v>
      </c>
      <c r="I151" s="460" t="s">
        <v>49</v>
      </c>
      <c r="J151" s="461">
        <v>2</v>
      </c>
      <c r="K151" s="78"/>
      <c r="L151" s="57"/>
      <c r="M151" s="78"/>
      <c r="N151" s="57"/>
      <c r="O151" s="78" t="s">
        <v>50</v>
      </c>
      <c r="P151" s="58"/>
      <c r="Q151" s="59" t="s">
        <v>133</v>
      </c>
      <c r="R151" s="41"/>
      <c r="S151" s="67"/>
    </row>
    <row r="152" spans="2:19" s="1" customFormat="1" ht="16.5" customHeight="1">
      <c r="B152" s="35"/>
      <c r="C152" s="48"/>
      <c r="D152" s="378"/>
      <c r="E152" s="8"/>
      <c r="F152" s="9"/>
      <c r="G152" s="36"/>
      <c r="H152" s="399"/>
      <c r="I152" s="78"/>
      <c r="J152" s="57"/>
      <c r="K152" s="78"/>
      <c r="L152" s="57"/>
      <c r="M152" s="78"/>
      <c r="N152" s="57"/>
      <c r="O152" s="78"/>
      <c r="P152" s="61"/>
      <c r="Q152" s="59"/>
      <c r="R152" s="41"/>
      <c r="S152" s="67"/>
    </row>
    <row r="153" spans="2:19" s="1" customFormat="1" ht="16.5" customHeight="1">
      <c r="B153" s="35"/>
      <c r="C153" s="48"/>
      <c r="D153" s="378"/>
      <c r="E153" s="8"/>
      <c r="F153" s="9"/>
      <c r="G153" s="23" t="s">
        <v>513</v>
      </c>
      <c r="H153" s="392">
        <v>29.5</v>
      </c>
      <c r="I153" s="460" t="s">
        <v>49</v>
      </c>
      <c r="J153" s="461">
        <v>1</v>
      </c>
      <c r="K153" s="78"/>
      <c r="L153" s="57"/>
      <c r="M153" s="78"/>
      <c r="N153" s="57"/>
      <c r="O153" s="78" t="s">
        <v>50</v>
      </c>
      <c r="P153" s="58">
        <f>H153*J153</f>
        <v>29.5</v>
      </c>
      <c r="Q153" s="59" t="s">
        <v>133</v>
      </c>
      <c r="R153" s="41"/>
      <c r="S153" s="67"/>
    </row>
    <row r="154" spans="2:19" s="1" customFormat="1" ht="16.5" customHeight="1">
      <c r="B154" s="35"/>
      <c r="C154" s="48"/>
      <c r="D154" s="378"/>
      <c r="E154" s="8"/>
      <c r="F154" s="9"/>
      <c r="G154" s="36" t="s">
        <v>514</v>
      </c>
      <c r="H154" s="392">
        <v>1.5</v>
      </c>
      <c r="I154" s="460" t="s">
        <v>49</v>
      </c>
      <c r="J154" s="461">
        <v>2</v>
      </c>
      <c r="K154" s="78"/>
      <c r="L154" s="57"/>
      <c r="M154" s="78"/>
      <c r="N154" s="57"/>
      <c r="O154" s="78" t="s">
        <v>50</v>
      </c>
      <c r="P154" s="58"/>
      <c r="Q154" s="59" t="s">
        <v>133</v>
      </c>
      <c r="R154" s="41"/>
      <c r="S154" s="67"/>
    </row>
    <row r="155" spans="2:19" s="1" customFormat="1" ht="16.5" customHeight="1">
      <c r="B155" s="35"/>
      <c r="C155" s="48"/>
      <c r="D155" s="378"/>
      <c r="E155" s="8"/>
      <c r="F155" s="9"/>
      <c r="G155" s="36" t="s">
        <v>515</v>
      </c>
      <c r="H155" s="392">
        <v>1.8</v>
      </c>
      <c r="I155" s="460" t="s">
        <v>49</v>
      </c>
      <c r="J155" s="461">
        <v>2</v>
      </c>
      <c r="K155" s="78"/>
      <c r="L155" s="57"/>
      <c r="M155" s="78"/>
      <c r="N155" s="57"/>
      <c r="O155" s="78" t="s">
        <v>50</v>
      </c>
      <c r="P155" s="58"/>
      <c r="Q155" s="59" t="s">
        <v>133</v>
      </c>
      <c r="R155" s="41"/>
      <c r="S155" s="67"/>
    </row>
    <row r="156" spans="2:19" s="1" customFormat="1" ht="16.5" customHeight="1">
      <c r="B156" s="35"/>
      <c r="C156" s="48"/>
      <c r="D156" s="378"/>
      <c r="E156" s="8"/>
      <c r="F156" s="9"/>
      <c r="G156" s="36"/>
      <c r="H156" s="399"/>
      <c r="I156" s="78"/>
      <c r="J156" s="57"/>
      <c r="K156" s="78"/>
      <c r="L156" s="57"/>
      <c r="M156" s="78"/>
      <c r="N156" s="57"/>
      <c r="O156" s="78" t="s">
        <v>50</v>
      </c>
      <c r="P156" s="61">
        <f>SUM(P149:P155)</f>
        <v>60.45</v>
      </c>
      <c r="Q156" s="413" t="s">
        <v>133</v>
      </c>
      <c r="R156" s="41"/>
      <c r="S156" s="67"/>
    </row>
    <row r="157" spans="2:19" s="1" customFormat="1" ht="16.5" customHeight="1">
      <c r="B157" s="35"/>
      <c r="C157" s="48"/>
      <c r="D157" s="378"/>
      <c r="E157" s="8"/>
      <c r="F157" s="9"/>
      <c r="G157" s="36"/>
      <c r="H157" s="399"/>
      <c r="I157" s="78"/>
      <c r="J157" s="57"/>
      <c r="K157" s="78"/>
      <c r="L157" s="57"/>
      <c r="M157" s="78"/>
      <c r="N157" s="57"/>
      <c r="O157" s="78"/>
      <c r="P157" s="61"/>
      <c r="Q157" s="59"/>
      <c r="R157" s="41"/>
      <c r="S157" s="67"/>
    </row>
    <row r="158" spans="2:19" s="1" customFormat="1" ht="16.5" customHeight="1">
      <c r="B158" s="35"/>
      <c r="C158" s="48"/>
      <c r="D158" s="378">
        <f>RAB!D347</f>
        <v>2</v>
      </c>
      <c r="E158" s="8" t="str">
        <f>RAB!E347</f>
        <v xml:space="preserve">Sisip Keramik Dinding </v>
      </c>
      <c r="F158" s="9"/>
      <c r="G158" s="36"/>
      <c r="H158" s="399"/>
      <c r="I158" s="78"/>
      <c r="J158" s="57"/>
      <c r="K158" s="78"/>
      <c r="L158" s="57"/>
      <c r="M158" s="78"/>
      <c r="N158" s="57"/>
      <c r="O158" s="78"/>
      <c r="P158" s="61"/>
      <c r="Q158" s="59"/>
      <c r="R158" s="41">
        <f>P160</f>
        <v>15</v>
      </c>
      <c r="S158" s="67" t="s">
        <v>133</v>
      </c>
    </row>
    <row r="159" spans="2:19" s="1" customFormat="1" ht="16.5" customHeight="1">
      <c r="B159" s="35"/>
      <c r="C159" s="48"/>
      <c r="D159" s="378"/>
      <c r="E159" s="8"/>
      <c r="F159" s="9"/>
      <c r="G159" s="36"/>
      <c r="H159" s="392" t="s">
        <v>408</v>
      </c>
      <c r="I159" s="460"/>
      <c r="J159" s="461" t="s">
        <v>226</v>
      </c>
      <c r="K159" s="78"/>
      <c r="L159" s="57"/>
      <c r="M159" s="78"/>
      <c r="N159" s="57"/>
      <c r="O159" s="79"/>
      <c r="P159" s="61"/>
      <c r="Q159" s="59"/>
      <c r="R159" s="41"/>
      <c r="S159" s="67"/>
    </row>
    <row r="160" spans="2:19" s="1" customFormat="1" ht="16.5" customHeight="1">
      <c r="B160" s="35"/>
      <c r="C160" s="48"/>
      <c r="D160" s="378"/>
      <c r="E160" s="8"/>
      <c r="F160" s="9"/>
      <c r="G160" s="36"/>
      <c r="H160" s="392">
        <v>5</v>
      </c>
      <c r="I160" s="460" t="s">
        <v>49</v>
      </c>
      <c r="J160" s="461">
        <v>3</v>
      </c>
      <c r="K160" s="78"/>
      <c r="L160" s="57"/>
      <c r="M160" s="78"/>
      <c r="N160" s="57"/>
      <c r="O160" s="78" t="s">
        <v>50</v>
      </c>
      <c r="P160" s="61">
        <f>H160*J160</f>
        <v>15</v>
      </c>
      <c r="Q160" s="413" t="s">
        <v>133</v>
      </c>
      <c r="R160" s="41"/>
      <c r="S160" s="67"/>
    </row>
    <row r="161" spans="2:19" s="1" customFormat="1" ht="16.5" customHeight="1">
      <c r="B161" s="35"/>
      <c r="C161" s="48"/>
      <c r="D161" s="378"/>
      <c r="E161" s="8"/>
      <c r="F161" s="9"/>
      <c r="G161" s="36"/>
      <c r="H161" s="399"/>
      <c r="I161" s="78"/>
      <c r="J161" s="57"/>
      <c r="K161" s="78"/>
      <c r="L161" s="57"/>
      <c r="M161" s="78"/>
      <c r="N161" s="57"/>
      <c r="O161" s="78"/>
      <c r="P161" s="61"/>
      <c r="Q161" s="59"/>
      <c r="R161" s="41"/>
      <c r="S161" s="67"/>
    </row>
    <row r="162" spans="2:19" s="1" customFormat="1" ht="16.5" customHeight="1">
      <c r="B162" s="35"/>
      <c r="C162" s="48"/>
      <c r="D162" s="378">
        <f>RAB!D348</f>
        <v>3</v>
      </c>
      <c r="E162" s="8" t="str">
        <f>RAB!E348</f>
        <v>Waterprofing Lantai</v>
      </c>
      <c r="F162" s="9"/>
      <c r="G162" s="36"/>
      <c r="H162" s="399"/>
      <c r="I162" s="78"/>
      <c r="J162" s="57"/>
      <c r="K162" s="78"/>
      <c r="L162" s="57"/>
      <c r="M162" s="78"/>
      <c r="N162" s="57"/>
      <c r="O162" s="78"/>
      <c r="P162" s="61"/>
      <c r="Q162" s="59"/>
      <c r="R162" s="41">
        <f>R147</f>
        <v>60.45</v>
      </c>
      <c r="S162" s="67" t="s">
        <v>133</v>
      </c>
    </row>
    <row r="163" spans="2:19" s="1" customFormat="1" ht="16.5" customHeight="1">
      <c r="B163" s="35"/>
      <c r="C163" s="48"/>
      <c r="D163" s="378"/>
      <c r="E163" s="8"/>
      <c r="F163" s="9"/>
      <c r="G163" s="36"/>
      <c r="H163" s="392" t="s">
        <v>408</v>
      </c>
      <c r="I163" s="460"/>
      <c r="J163" s="461" t="s">
        <v>226</v>
      </c>
      <c r="K163" s="78"/>
      <c r="L163" s="57"/>
      <c r="M163" s="78"/>
      <c r="N163" s="57"/>
      <c r="O163" s="79"/>
      <c r="P163" s="61"/>
      <c r="Q163" s="59"/>
      <c r="R163" s="41"/>
      <c r="S163" s="67"/>
    </row>
    <row r="164" spans="2:19" s="1" customFormat="1" ht="16.5" customHeight="1">
      <c r="B164" s="35"/>
      <c r="C164" s="48"/>
      <c r="D164" s="378" t="str">
        <f>RAB!D350</f>
        <v>PEKERJAAN INSTALASI LISTRIK</v>
      </c>
      <c r="E164" s="8"/>
      <c r="F164" s="9"/>
      <c r="G164" s="36"/>
      <c r="H164" s="399"/>
      <c r="I164" s="78"/>
      <c r="J164" s="57"/>
      <c r="K164" s="78"/>
      <c r="L164" s="57"/>
      <c r="M164" s="78"/>
      <c r="N164" s="57"/>
      <c r="O164" s="78"/>
      <c r="P164" s="61"/>
      <c r="Q164" s="59"/>
      <c r="R164" s="41"/>
      <c r="S164" s="67"/>
    </row>
    <row r="165" spans="2:19" s="1" customFormat="1" ht="16.5" customHeight="1">
      <c r="B165" s="35"/>
      <c r="C165" s="48"/>
      <c r="D165" s="378">
        <f>RAB!D352</f>
        <v>2</v>
      </c>
      <c r="E165" s="8" t="str">
        <f>RAB!E352</f>
        <v>Lampu LED 7 watt + Fitting Downlight</v>
      </c>
      <c r="F165" s="9"/>
      <c r="G165" s="36"/>
      <c r="H165" s="399"/>
      <c r="I165" s="78"/>
      <c r="J165" s="57"/>
      <c r="K165" s="78"/>
      <c r="L165" s="57"/>
      <c r="M165" s="78"/>
      <c r="N165" s="57"/>
      <c r="O165" s="78"/>
      <c r="P165" s="61"/>
      <c r="Q165" s="59"/>
      <c r="R165" s="41">
        <v>19</v>
      </c>
      <c r="S165" s="67" t="s">
        <v>62</v>
      </c>
    </row>
    <row r="166" spans="2:19" s="1" customFormat="1" ht="16.5" customHeight="1">
      <c r="B166" s="35"/>
      <c r="C166" s="48"/>
      <c r="D166" s="378"/>
      <c r="E166" s="8"/>
      <c r="F166" s="9"/>
      <c r="G166" s="36"/>
      <c r="H166" s="399"/>
      <c r="I166" s="78"/>
      <c r="J166" s="57"/>
      <c r="K166" s="78"/>
      <c r="L166" s="57"/>
      <c r="M166" s="78"/>
      <c r="N166" s="57"/>
      <c r="O166" s="78"/>
      <c r="P166" s="61"/>
      <c r="Q166" s="59"/>
      <c r="R166" s="41"/>
      <c r="S166" s="67"/>
    </row>
    <row r="167" spans="2:19" s="1" customFormat="1" ht="16.5" customHeight="1">
      <c r="B167" s="35"/>
      <c r="C167" s="48"/>
      <c r="D167" s="378" t="str">
        <f>RAB!D359</f>
        <v>PEKERJAAN INSTALASI PLUMBING</v>
      </c>
      <c r="E167" s="8"/>
      <c r="F167" s="9"/>
      <c r="G167" s="36"/>
      <c r="H167" s="399"/>
      <c r="I167" s="78"/>
      <c r="J167" s="57"/>
      <c r="K167" s="78"/>
      <c r="L167" s="57"/>
      <c r="M167" s="78"/>
      <c r="N167" s="57"/>
      <c r="O167" s="78"/>
      <c r="P167" s="61"/>
      <c r="Q167" s="59"/>
      <c r="R167" s="41"/>
      <c r="S167" s="67"/>
    </row>
    <row r="168" spans="2:19" s="1" customFormat="1" ht="16.5" customHeight="1">
      <c r="B168" s="35"/>
      <c r="C168" s="48"/>
      <c r="D168" s="378" t="e">
        <f>RAB!#REF!</f>
        <v>#REF!</v>
      </c>
      <c r="E168" s="8" t="e">
        <f>RAB!#REF!</f>
        <v>#REF!</v>
      </c>
      <c r="F168" s="9"/>
      <c r="G168" s="36"/>
      <c r="H168" s="399"/>
      <c r="I168" s="78"/>
      <c r="J168" s="57"/>
      <c r="K168" s="78"/>
      <c r="L168" s="57"/>
      <c r="M168" s="78"/>
      <c r="N168" s="57"/>
      <c r="O168" s="78"/>
      <c r="P168" s="61"/>
      <c r="Q168" s="59"/>
      <c r="R168" s="41">
        <v>25</v>
      </c>
      <c r="S168" s="67" t="s">
        <v>21</v>
      </c>
    </row>
    <row r="169" spans="2:19" s="1" customFormat="1" ht="16.5" customHeight="1">
      <c r="B169" s="35"/>
      <c r="C169" s="48"/>
      <c r="D169" s="378" t="e">
        <f>RAB!#REF!</f>
        <v>#REF!</v>
      </c>
      <c r="E169" s="8" t="e">
        <f>RAB!#REF!</f>
        <v>#REF!</v>
      </c>
      <c r="F169" s="9"/>
      <c r="G169" s="36"/>
      <c r="H169" s="399"/>
      <c r="I169" s="78"/>
      <c r="J169" s="57"/>
      <c r="K169" s="78"/>
      <c r="L169" s="57"/>
      <c r="M169" s="78"/>
      <c r="N169" s="57"/>
      <c r="O169" s="78"/>
      <c r="P169" s="61"/>
      <c r="Q169" s="59"/>
      <c r="R169" s="41">
        <v>9</v>
      </c>
      <c r="S169" s="67" t="s">
        <v>62</v>
      </c>
    </row>
    <row r="170" spans="2:19" s="1" customFormat="1" ht="16.5" customHeight="1">
      <c r="B170" s="35"/>
      <c r="C170" s="48"/>
      <c r="D170" s="378" t="e">
        <f>RAB!#REF!</f>
        <v>#REF!</v>
      </c>
      <c r="E170" s="8" t="e">
        <f>RAB!#REF!</f>
        <v>#REF!</v>
      </c>
      <c r="F170" s="9"/>
      <c r="G170" s="36"/>
      <c r="H170" s="399"/>
      <c r="I170" s="78"/>
      <c r="J170" s="57"/>
      <c r="K170" s="78"/>
      <c r="L170" s="57"/>
      <c r="M170" s="78"/>
      <c r="N170" s="57"/>
      <c r="O170" s="78"/>
      <c r="P170" s="61"/>
      <c r="Q170" s="59"/>
      <c r="R170" s="41">
        <v>8</v>
      </c>
      <c r="S170" s="67" t="s">
        <v>62</v>
      </c>
    </row>
    <row r="171" spans="2:19" s="1" customFormat="1" ht="16.5" customHeight="1">
      <c r="B171" s="35"/>
      <c r="C171" s="48"/>
      <c r="D171" s="378" t="e">
        <f>RAB!#REF!</f>
        <v>#REF!</v>
      </c>
      <c r="E171" s="8" t="e">
        <f>RAB!#REF!</f>
        <v>#REF!</v>
      </c>
      <c r="F171" s="9"/>
      <c r="G171" s="36"/>
      <c r="H171" s="399"/>
      <c r="I171" s="78"/>
      <c r="J171" s="57"/>
      <c r="K171" s="78"/>
      <c r="L171" s="57"/>
      <c r="M171" s="78"/>
      <c r="N171" s="57"/>
      <c r="O171" s="78"/>
      <c r="P171" s="61"/>
      <c r="Q171" s="59"/>
      <c r="R171" s="41">
        <v>9</v>
      </c>
      <c r="S171" s="67" t="s">
        <v>62</v>
      </c>
    </row>
    <row r="172" spans="2:19" s="1" customFormat="1" ht="16.5" customHeight="1">
      <c r="B172" s="35"/>
      <c r="C172" s="48"/>
      <c r="D172" s="378"/>
      <c r="E172" s="8"/>
      <c r="F172" s="9"/>
      <c r="G172" s="36"/>
      <c r="H172" s="399"/>
      <c r="I172" s="78"/>
      <c r="J172" s="57"/>
      <c r="K172" s="78"/>
      <c r="L172" s="57"/>
      <c r="M172" s="78"/>
      <c r="N172" s="57"/>
      <c r="O172" s="78"/>
      <c r="P172" s="61"/>
      <c r="Q172" s="59"/>
      <c r="R172" s="41"/>
      <c r="S172" s="67"/>
    </row>
    <row r="173" spans="2:19" s="1" customFormat="1" ht="16.5" customHeight="1">
      <c r="B173" s="35"/>
      <c r="C173" s="48"/>
      <c r="D173" s="378" t="str">
        <f>RAB!D367</f>
        <v xml:space="preserve">PEKERJAAN PINTU </v>
      </c>
      <c r="E173" s="8"/>
      <c r="F173" s="9"/>
      <c r="G173" s="36"/>
      <c r="H173" s="399"/>
      <c r="I173" s="78"/>
      <c r="J173" s="57"/>
      <c r="K173" s="78"/>
      <c r="L173" s="57"/>
      <c r="M173" s="78"/>
      <c r="N173" s="57"/>
      <c r="O173" s="78"/>
      <c r="P173" s="61"/>
      <c r="Q173" s="59"/>
      <c r="R173" s="41"/>
      <c r="S173" s="67"/>
    </row>
    <row r="174" spans="2:19" s="1" customFormat="1" ht="16.5" customHeight="1">
      <c r="B174" s="35"/>
      <c r="C174" s="48"/>
      <c r="D174" s="378">
        <f>RAB!D368</f>
        <v>1</v>
      </c>
      <c r="E174" s="8" t="str">
        <f>RAB!E368</f>
        <v>Pas. Kunci Tanam</v>
      </c>
      <c r="F174" s="9"/>
      <c r="G174" s="36"/>
      <c r="H174" s="399"/>
      <c r="I174" s="78"/>
      <c r="J174" s="57"/>
      <c r="K174" s="78"/>
      <c r="L174" s="57"/>
      <c r="M174" s="78"/>
      <c r="N174" s="57"/>
      <c r="O174" s="78"/>
      <c r="P174" s="61"/>
      <c r="Q174" s="59"/>
      <c r="R174" s="41">
        <v>2</v>
      </c>
      <c r="S174" s="67" t="s">
        <v>62</v>
      </c>
    </row>
    <row r="175" spans="2:19" s="1" customFormat="1" ht="16.5" customHeight="1">
      <c r="B175" s="35"/>
      <c r="C175" s="48"/>
      <c r="D175" s="378">
        <f>RAB!D369</f>
        <v>2</v>
      </c>
      <c r="E175" s="8" t="str">
        <f>RAB!E369</f>
        <v>Pas. Pintu Toilet Aluminium</v>
      </c>
      <c r="F175" s="9"/>
      <c r="G175" s="36"/>
      <c r="H175" s="399"/>
      <c r="I175" s="78"/>
      <c r="J175" s="57"/>
      <c r="K175" s="78"/>
      <c r="L175" s="57"/>
      <c r="M175" s="78"/>
      <c r="N175" s="57"/>
      <c r="O175" s="78"/>
      <c r="P175" s="61"/>
      <c r="Q175" s="59"/>
      <c r="R175" s="41">
        <v>9</v>
      </c>
      <c r="S175" s="67" t="s">
        <v>62</v>
      </c>
    </row>
    <row r="176" spans="2:19" s="1" customFormat="1" ht="16.5" customHeight="1">
      <c r="B176" s="35"/>
      <c r="C176" s="48"/>
      <c r="D176" s="378"/>
      <c r="E176" s="8"/>
      <c r="F176" s="9"/>
      <c r="G176" s="36"/>
      <c r="H176" s="399"/>
      <c r="I176" s="78"/>
      <c r="J176" s="57"/>
      <c r="K176" s="78"/>
      <c r="L176" s="57"/>
      <c r="M176" s="78"/>
      <c r="N176" s="57"/>
      <c r="O176" s="78"/>
      <c r="P176" s="61"/>
      <c r="Q176" s="59"/>
      <c r="R176" s="41"/>
      <c r="S176" s="67"/>
    </row>
    <row r="177" spans="2:19" s="1" customFormat="1" ht="16.5" customHeight="1">
      <c r="B177" s="35"/>
      <c r="C177" s="48"/>
      <c r="D177" s="378" t="str">
        <f>RAB!D371</f>
        <v>PEKERJAAN PENGECATAN</v>
      </c>
      <c r="E177" s="8"/>
      <c r="F177" s="9"/>
      <c r="G177" s="36"/>
      <c r="H177" s="399"/>
      <c r="I177" s="78"/>
      <c r="J177" s="57"/>
      <c r="K177" s="78"/>
      <c r="L177" s="57"/>
      <c r="M177" s="78"/>
      <c r="N177" s="57"/>
      <c r="O177" s="78"/>
      <c r="P177" s="61"/>
      <c r="Q177" s="59"/>
      <c r="R177" s="41"/>
      <c r="S177" s="67"/>
    </row>
    <row r="178" spans="2:19" s="1" customFormat="1" ht="16.5" customHeight="1">
      <c r="B178" s="35"/>
      <c r="C178" s="48"/>
      <c r="D178" s="378">
        <f>RAB!D372</f>
        <v>1</v>
      </c>
      <c r="E178" s="8" t="str">
        <f>RAB!E372</f>
        <v>Pengecatan Cat Tembok Dinding Interior</v>
      </c>
      <c r="F178" s="9"/>
      <c r="G178" s="36"/>
      <c r="H178" s="399"/>
      <c r="I178" s="78"/>
      <c r="J178" s="57"/>
      <c r="K178" s="78"/>
      <c r="L178" s="57"/>
      <c r="M178" s="78"/>
      <c r="N178" s="57"/>
      <c r="O178" s="78"/>
      <c r="P178" s="61"/>
      <c r="Q178" s="59"/>
      <c r="R178" s="41">
        <f>P182</f>
        <v>82.07</v>
      </c>
      <c r="S178" s="67" t="s">
        <v>133</v>
      </c>
    </row>
    <row r="179" spans="2:19" s="1" customFormat="1" ht="16.5" customHeight="1">
      <c r="B179" s="35"/>
      <c r="C179" s="48"/>
      <c r="D179" s="378"/>
      <c r="E179" s="8"/>
      <c r="F179" s="9"/>
      <c r="G179" s="36"/>
      <c r="H179" s="392" t="s">
        <v>408</v>
      </c>
      <c r="I179" s="460"/>
      <c r="J179" s="461" t="s">
        <v>226</v>
      </c>
      <c r="K179" s="460"/>
      <c r="L179" s="461" t="s">
        <v>52</v>
      </c>
      <c r="M179" s="78"/>
      <c r="N179" s="57"/>
      <c r="O179" s="78"/>
      <c r="P179" s="61"/>
      <c r="Q179" s="59"/>
      <c r="R179" s="41"/>
      <c r="S179" s="67"/>
    </row>
    <row r="180" spans="2:19" s="1" customFormat="1" ht="16.5" customHeight="1">
      <c r="B180" s="35"/>
      <c r="C180" s="48"/>
      <c r="D180" s="378"/>
      <c r="E180" s="8"/>
      <c r="F180" s="9"/>
      <c r="G180" s="36" t="s">
        <v>423</v>
      </c>
      <c r="H180" s="392">
        <v>5</v>
      </c>
      <c r="I180" s="460" t="s">
        <v>49</v>
      </c>
      <c r="J180" s="461">
        <v>1</v>
      </c>
      <c r="K180" s="460" t="s">
        <v>49</v>
      </c>
      <c r="L180" s="461">
        <f>R175</f>
        <v>9</v>
      </c>
      <c r="M180" s="78"/>
      <c r="N180" s="57"/>
      <c r="O180" s="78" t="s">
        <v>50</v>
      </c>
      <c r="P180" s="58">
        <f>H180*J180*L180</f>
        <v>45</v>
      </c>
      <c r="Q180" s="59" t="s">
        <v>133</v>
      </c>
      <c r="R180" s="41"/>
      <c r="S180" s="67"/>
    </row>
    <row r="181" spans="2:19" s="1" customFormat="1" ht="16.5" customHeight="1">
      <c r="B181" s="35"/>
      <c r="C181" s="48"/>
      <c r="D181" s="378"/>
      <c r="E181" s="8"/>
      <c r="F181" s="9"/>
      <c r="G181" s="36"/>
      <c r="H181" s="392">
        <v>37.07</v>
      </c>
      <c r="I181" s="460" t="s">
        <v>49</v>
      </c>
      <c r="J181" s="461">
        <v>1</v>
      </c>
      <c r="K181" s="460" t="s">
        <v>49</v>
      </c>
      <c r="L181" s="461">
        <v>1</v>
      </c>
      <c r="M181" s="78"/>
      <c r="N181" s="57"/>
      <c r="O181" s="78" t="s">
        <v>50</v>
      </c>
      <c r="P181" s="58">
        <f>H181*J181*L181</f>
        <v>37.07</v>
      </c>
      <c r="Q181" s="59" t="s">
        <v>133</v>
      </c>
      <c r="R181" s="41"/>
      <c r="S181" s="67"/>
    </row>
    <row r="182" spans="2:19" s="1" customFormat="1" ht="16.5" customHeight="1">
      <c r="B182" s="35"/>
      <c r="C182" s="48"/>
      <c r="D182" s="378"/>
      <c r="E182" s="8"/>
      <c r="F182" s="9"/>
      <c r="G182" s="36"/>
      <c r="H182" s="392"/>
      <c r="I182" s="460"/>
      <c r="J182" s="461"/>
      <c r="K182" s="460"/>
      <c r="L182" s="461"/>
      <c r="M182" s="78"/>
      <c r="N182" s="57"/>
      <c r="O182" s="78" t="s">
        <v>50</v>
      </c>
      <c r="P182" s="61">
        <f>SUM(P180:P181)</f>
        <v>82.07</v>
      </c>
      <c r="Q182" s="413" t="s">
        <v>133</v>
      </c>
      <c r="R182" s="41"/>
      <c r="S182" s="67"/>
    </row>
    <row r="183" spans="2:19" s="1" customFormat="1" ht="16.5" customHeight="1">
      <c r="B183" s="35"/>
      <c r="C183" s="48"/>
      <c r="D183" s="378"/>
      <c r="E183" s="8"/>
      <c r="F183" s="9"/>
      <c r="G183" s="36"/>
      <c r="H183" s="399"/>
      <c r="I183" s="78"/>
      <c r="J183" s="57"/>
      <c r="K183" s="78"/>
      <c r="L183" s="57"/>
      <c r="M183" s="78"/>
      <c r="N183" s="57"/>
      <c r="O183" s="78"/>
      <c r="P183" s="61"/>
      <c r="Q183" s="59"/>
      <c r="R183" s="41"/>
      <c r="S183" s="67"/>
    </row>
    <row r="184" spans="2:19" s="1" customFormat="1" ht="16.5" customHeight="1">
      <c r="B184" s="35"/>
      <c r="C184" s="48"/>
      <c r="D184" s="378"/>
      <c r="E184" s="8"/>
      <c r="F184" s="9"/>
      <c r="G184" s="36"/>
      <c r="H184" s="399"/>
      <c r="I184" s="78"/>
      <c r="J184" s="57"/>
      <c r="K184" s="78"/>
      <c r="L184" s="57"/>
      <c r="M184" s="78"/>
      <c r="N184" s="57"/>
      <c r="O184" s="78"/>
      <c r="P184" s="61"/>
      <c r="Q184" s="59"/>
      <c r="R184" s="41"/>
      <c r="S184" s="67"/>
    </row>
    <row r="185" spans="2:19" s="1" customFormat="1" ht="16.5" customHeight="1">
      <c r="B185" s="35"/>
      <c r="C185" s="48"/>
      <c r="D185" s="378"/>
      <c r="E185" s="8"/>
      <c r="F185" s="9"/>
      <c r="G185" s="36"/>
      <c r="H185" s="399"/>
      <c r="I185" s="78"/>
      <c r="J185" s="57"/>
      <c r="K185" s="78"/>
      <c r="L185" s="57"/>
      <c r="M185" s="78"/>
      <c r="N185" s="57"/>
      <c r="O185" s="78"/>
      <c r="P185" s="61"/>
      <c r="Q185" s="59"/>
      <c r="R185" s="41"/>
      <c r="S185" s="67"/>
    </row>
    <row r="186" spans="2:19" s="1" customFormat="1" ht="16.5" customHeight="1">
      <c r="B186" s="35"/>
      <c r="C186" s="48"/>
      <c r="D186" s="378"/>
      <c r="E186" s="8"/>
      <c r="F186" s="9"/>
      <c r="G186" s="36"/>
      <c r="H186" s="399"/>
      <c r="I186" s="78"/>
      <c r="J186" s="57"/>
      <c r="K186" s="78"/>
      <c r="L186" s="57"/>
      <c r="M186" s="78"/>
      <c r="N186" s="57"/>
      <c r="O186" s="78"/>
      <c r="P186" s="61"/>
      <c r="Q186" s="59"/>
      <c r="R186" s="41"/>
      <c r="S186" s="67"/>
    </row>
    <row r="187" spans="2:19" s="1" customFormat="1" ht="16.5" customHeight="1">
      <c r="B187" s="35"/>
      <c r="C187" s="48"/>
      <c r="D187" s="378"/>
      <c r="E187" s="8"/>
      <c r="F187" s="9"/>
      <c r="G187" s="36"/>
      <c r="H187" s="399"/>
      <c r="I187" s="78"/>
      <c r="J187" s="57"/>
      <c r="K187" s="78"/>
      <c r="L187" s="57"/>
      <c r="M187" s="78"/>
      <c r="N187" s="57"/>
      <c r="O187" s="78"/>
      <c r="P187" s="61"/>
      <c r="Q187" s="59"/>
      <c r="R187" s="41"/>
      <c r="S187" s="67"/>
    </row>
    <row r="188" spans="2:19" s="1" customFormat="1" ht="16.5" customHeight="1">
      <c r="B188" s="35"/>
      <c r="C188" s="48"/>
      <c r="D188" s="378"/>
      <c r="E188" s="8"/>
      <c r="F188" s="9"/>
      <c r="G188" s="36"/>
      <c r="H188" s="399"/>
      <c r="I188" s="78"/>
      <c r="J188" s="57"/>
      <c r="K188" s="78"/>
      <c r="L188" s="57"/>
      <c r="M188" s="78"/>
      <c r="N188" s="57"/>
      <c r="O188" s="78"/>
      <c r="P188" s="61"/>
      <c r="Q188" s="59"/>
      <c r="R188" s="41"/>
      <c r="S188" s="67"/>
    </row>
    <row r="189" spans="2:19" s="1" customFormat="1" ht="16.5" customHeight="1">
      <c r="B189" s="35"/>
      <c r="C189" s="48"/>
      <c r="D189" s="378"/>
      <c r="E189" s="8"/>
      <c r="F189" s="9"/>
      <c r="G189" s="36"/>
      <c r="H189" s="399"/>
      <c r="I189" s="78"/>
      <c r="J189" s="57"/>
      <c r="K189" s="78"/>
      <c r="L189" s="57"/>
      <c r="M189" s="78"/>
      <c r="N189" s="57"/>
      <c r="O189" s="78"/>
      <c r="P189" s="61"/>
      <c r="Q189" s="59"/>
      <c r="R189" s="41"/>
      <c r="S189" s="67"/>
    </row>
    <row r="190" spans="2:19" s="1" customFormat="1" ht="16.5" customHeight="1">
      <c r="B190" s="35"/>
      <c r="C190" s="48"/>
      <c r="D190" s="378"/>
      <c r="E190" s="8"/>
      <c r="F190" s="9"/>
      <c r="G190" s="36"/>
      <c r="H190" s="399"/>
      <c r="I190" s="78"/>
      <c r="J190" s="57"/>
      <c r="K190" s="78"/>
      <c r="L190" s="57"/>
      <c r="M190" s="78"/>
      <c r="N190" s="57"/>
      <c r="O190" s="78"/>
      <c r="P190" s="61"/>
      <c r="Q190" s="59"/>
      <c r="R190" s="41"/>
      <c r="S190" s="67"/>
    </row>
    <row r="191" spans="2:19" s="1" customFormat="1" ht="16.5" customHeight="1">
      <c r="B191" s="35"/>
      <c r="C191" s="48"/>
      <c r="D191" s="378"/>
      <c r="E191" s="8"/>
      <c r="F191" s="9"/>
      <c r="G191" s="36"/>
      <c r="H191" s="399"/>
      <c r="I191" s="78"/>
      <c r="J191" s="57"/>
      <c r="K191" s="78"/>
      <c r="L191" s="57"/>
      <c r="M191" s="78"/>
      <c r="N191" s="57"/>
      <c r="O191" s="78"/>
      <c r="P191" s="61"/>
      <c r="Q191" s="59"/>
      <c r="R191" s="41"/>
      <c r="S191" s="67"/>
    </row>
    <row r="192" spans="2:19" s="1" customFormat="1" ht="16.5" customHeight="1">
      <c r="B192" s="35"/>
      <c r="C192" s="48"/>
      <c r="D192" s="378"/>
      <c r="E192" s="8"/>
      <c r="F192" s="9"/>
      <c r="G192" s="36"/>
      <c r="H192" s="399"/>
      <c r="I192" s="78"/>
      <c r="J192" s="57"/>
      <c r="K192" s="78"/>
      <c r="L192" s="57"/>
      <c r="M192" s="78"/>
      <c r="N192" s="57"/>
      <c r="O192" s="78"/>
      <c r="P192" s="61"/>
      <c r="Q192" s="59"/>
      <c r="R192" s="41"/>
      <c r="S192" s="67"/>
    </row>
    <row r="193" spans="2:20" s="1" customFormat="1" ht="16.5" customHeight="1">
      <c r="B193" s="35"/>
      <c r="C193" s="48"/>
      <c r="D193" s="378"/>
      <c r="E193" s="8"/>
      <c r="F193" s="9"/>
      <c r="G193" s="36"/>
      <c r="H193" s="399"/>
      <c r="I193" s="78"/>
      <c r="J193" s="57"/>
      <c r="K193" s="78"/>
      <c r="L193" s="57"/>
      <c r="M193" s="78"/>
      <c r="N193" s="57"/>
      <c r="O193" s="78"/>
      <c r="P193" s="61"/>
      <c r="Q193" s="59"/>
      <c r="R193" s="41"/>
      <c r="S193" s="67"/>
    </row>
    <row r="194" spans="2:20" s="1" customFormat="1" ht="16.5" customHeight="1">
      <c r="B194" s="35"/>
      <c r="C194" s="48"/>
      <c r="D194" s="378"/>
      <c r="E194" s="8"/>
      <c r="F194" s="9"/>
      <c r="G194" s="36"/>
      <c r="H194" s="399"/>
      <c r="I194" s="78"/>
      <c r="J194" s="57"/>
      <c r="K194" s="78"/>
      <c r="L194" s="57"/>
      <c r="M194" s="78"/>
      <c r="N194" s="57"/>
      <c r="O194" s="78"/>
      <c r="P194" s="61"/>
      <c r="Q194" s="59"/>
      <c r="R194" s="41"/>
      <c r="S194" s="67"/>
    </row>
    <row r="195" spans="2:20">
      <c r="H195" s="62"/>
      <c r="R195" s="428"/>
      <c r="S195" s="429"/>
      <c r="T195" s="430"/>
    </row>
    <row r="196" spans="2:20">
      <c r="H196" s="62"/>
      <c r="R196" s="428"/>
      <c r="S196" s="429"/>
      <c r="T196" s="430"/>
    </row>
    <row r="197" spans="2:20">
      <c r="H197" s="62"/>
      <c r="R197" s="428"/>
      <c r="S197" s="429"/>
      <c r="T197" s="430"/>
    </row>
    <row r="198" spans="2:20">
      <c r="H198" s="62"/>
      <c r="R198" s="428"/>
      <c r="S198" s="429"/>
      <c r="T198" s="430"/>
    </row>
    <row r="199" spans="2:20">
      <c r="H199" s="62"/>
      <c r="R199" s="428"/>
      <c r="S199" s="429"/>
      <c r="T199" s="430"/>
    </row>
    <row r="200" spans="2:20">
      <c r="H200" s="62"/>
      <c r="R200" s="428"/>
      <c r="S200" s="429"/>
      <c r="T200" s="430"/>
    </row>
    <row r="201" spans="2:20">
      <c r="H201" s="62"/>
      <c r="R201" s="428"/>
      <c r="S201" s="429"/>
      <c r="T201" s="430"/>
    </row>
    <row r="202" spans="2:20">
      <c r="H202" s="62"/>
      <c r="R202" s="428"/>
      <c r="S202" s="429"/>
      <c r="T202" s="430"/>
    </row>
    <row r="203" spans="2:20">
      <c r="H203" s="62"/>
      <c r="R203" s="428"/>
      <c r="S203" s="429"/>
      <c r="T203" s="430"/>
    </row>
    <row r="204" spans="2:20">
      <c r="H204" s="62"/>
      <c r="R204" s="428"/>
      <c r="S204" s="429"/>
      <c r="T204" s="430"/>
    </row>
    <row r="205" spans="2:20">
      <c r="H205" s="62"/>
      <c r="R205" s="428"/>
      <c r="S205" s="429"/>
      <c r="T205" s="430"/>
    </row>
    <row r="206" spans="2:20">
      <c r="H206" s="62"/>
      <c r="R206" s="428"/>
      <c r="S206" s="429"/>
      <c r="T206" s="430"/>
    </row>
    <row r="207" spans="2:20">
      <c r="H207" s="62"/>
      <c r="R207" s="428"/>
      <c r="S207" s="429"/>
      <c r="T207" s="430"/>
    </row>
    <row r="208" spans="2:20">
      <c r="H208" s="62"/>
      <c r="R208" s="428"/>
      <c r="S208" s="429"/>
      <c r="T208" s="430"/>
    </row>
    <row r="209" spans="8:20">
      <c r="H209" s="62"/>
      <c r="R209" s="428"/>
      <c r="S209" s="429"/>
      <c r="T209" s="430"/>
    </row>
    <row r="210" spans="8:20">
      <c r="H210" s="62"/>
      <c r="R210" s="428"/>
      <c r="S210" s="429"/>
      <c r="T210" s="430"/>
    </row>
    <row r="211" spans="8:20">
      <c r="H211" s="62"/>
      <c r="R211" s="428"/>
      <c r="S211" s="429"/>
      <c r="T211" s="430"/>
    </row>
    <row r="212" spans="8:20">
      <c r="H212" s="62"/>
      <c r="R212" s="428"/>
      <c r="S212" s="429"/>
      <c r="T212" s="430"/>
    </row>
    <row r="213" spans="8:20">
      <c r="H213" s="62"/>
      <c r="R213" s="428"/>
      <c r="S213" s="429"/>
      <c r="T213" s="430"/>
    </row>
    <row r="214" spans="8:20">
      <c r="H214" s="62"/>
      <c r="R214" s="428"/>
      <c r="S214" s="429"/>
      <c r="T214" s="430"/>
    </row>
    <row r="215" spans="8:20">
      <c r="H215" s="62"/>
      <c r="R215" s="428"/>
      <c r="S215" s="429"/>
      <c r="T215" s="430"/>
    </row>
    <row r="216" spans="8:20">
      <c r="H216" s="62"/>
      <c r="R216" s="428"/>
      <c r="S216" s="429"/>
      <c r="T216" s="430"/>
    </row>
    <row r="217" spans="8:20">
      <c r="H217" s="62"/>
      <c r="R217" s="428"/>
      <c r="S217" s="429"/>
      <c r="T217" s="430"/>
    </row>
    <row r="218" spans="8:20">
      <c r="H218" s="62"/>
      <c r="R218" s="428"/>
      <c r="S218" s="429"/>
      <c r="T218" s="430"/>
    </row>
    <row r="219" spans="8:20">
      <c r="H219" s="62"/>
      <c r="R219" s="428"/>
      <c r="S219" s="429"/>
      <c r="T219" s="430"/>
    </row>
    <row r="220" spans="8:20">
      <c r="H220" s="62"/>
      <c r="R220" s="428"/>
      <c r="S220" s="429"/>
      <c r="T220" s="430"/>
    </row>
    <row r="221" spans="8:20">
      <c r="H221" s="62"/>
      <c r="R221" s="428"/>
      <c r="S221" s="429"/>
      <c r="T221" s="430"/>
    </row>
    <row r="222" spans="8:20">
      <c r="H222" s="62"/>
      <c r="R222" s="428"/>
      <c r="S222" s="429"/>
      <c r="T222" s="430"/>
    </row>
    <row r="223" spans="8:20">
      <c r="H223" s="62"/>
      <c r="R223" s="428"/>
      <c r="S223" s="429"/>
      <c r="T223" s="430"/>
    </row>
    <row r="224" spans="8:20">
      <c r="H224" s="62"/>
      <c r="R224" s="428"/>
      <c r="S224" s="429"/>
      <c r="T224" s="430"/>
    </row>
    <row r="225" spans="8:20">
      <c r="H225" s="62"/>
      <c r="R225" s="428"/>
      <c r="S225" s="429"/>
      <c r="T225" s="430"/>
    </row>
    <row r="226" spans="8:20">
      <c r="H226" s="62"/>
      <c r="R226" s="428"/>
      <c r="S226" s="429"/>
      <c r="T226" s="430"/>
    </row>
    <row r="227" spans="8:20">
      <c r="H227" s="62"/>
      <c r="R227" s="428"/>
      <c r="S227" s="429"/>
      <c r="T227" s="430"/>
    </row>
    <row r="228" spans="8:20">
      <c r="H228" s="62"/>
      <c r="R228" s="428"/>
      <c r="S228" s="429"/>
      <c r="T228" s="430"/>
    </row>
    <row r="229" spans="8:20">
      <c r="H229" s="62"/>
      <c r="R229" s="428"/>
      <c r="S229" s="429"/>
      <c r="T229" s="430"/>
    </row>
    <row r="230" spans="8:20">
      <c r="H230" s="62"/>
      <c r="R230" s="428"/>
      <c r="S230" s="429"/>
      <c r="T230" s="430"/>
    </row>
    <row r="231" spans="8:20">
      <c r="H231" s="62"/>
      <c r="R231" s="428"/>
      <c r="S231" s="429"/>
      <c r="T231" s="430"/>
    </row>
    <row r="232" spans="8:20">
      <c r="H232" s="62"/>
      <c r="R232" s="428"/>
      <c r="S232" s="429"/>
      <c r="T232" s="430"/>
    </row>
    <row r="233" spans="8:20">
      <c r="H233" s="62"/>
      <c r="R233" s="428"/>
      <c r="S233" s="429"/>
      <c r="T233" s="430"/>
    </row>
    <row r="234" spans="8:20">
      <c r="H234" s="62"/>
      <c r="R234" s="428"/>
      <c r="S234" s="429"/>
      <c r="T234" s="430"/>
    </row>
    <row r="235" spans="8:20">
      <c r="H235" s="62"/>
      <c r="R235" s="428"/>
      <c r="S235" s="429"/>
      <c r="T235" s="430"/>
    </row>
    <row r="236" spans="8:20">
      <c r="H236" s="62"/>
      <c r="R236" s="428"/>
      <c r="S236" s="429"/>
      <c r="T236" s="430"/>
    </row>
    <row r="237" spans="8:20">
      <c r="H237" s="62"/>
      <c r="R237" s="428"/>
      <c r="S237" s="429"/>
      <c r="T237" s="430"/>
    </row>
    <row r="238" spans="8:20">
      <c r="H238" s="62"/>
      <c r="R238" s="428"/>
      <c r="S238" s="429"/>
      <c r="T238" s="430"/>
    </row>
    <row r="239" spans="8:20">
      <c r="H239" s="62"/>
      <c r="R239" s="428"/>
      <c r="S239" s="429"/>
      <c r="T239" s="430"/>
    </row>
    <row r="240" spans="8:20">
      <c r="H240" s="62"/>
      <c r="R240" s="428"/>
      <c r="S240" s="429"/>
      <c r="T240" s="430"/>
    </row>
    <row r="241" spans="8:20">
      <c r="H241" s="62"/>
      <c r="R241" s="428"/>
      <c r="S241" s="429"/>
      <c r="T241" s="430"/>
    </row>
    <row r="242" spans="8:20">
      <c r="H242" s="62"/>
      <c r="R242" s="428"/>
      <c r="S242" s="429"/>
      <c r="T242" s="430"/>
    </row>
    <row r="243" spans="8:20">
      <c r="H243" s="62"/>
      <c r="R243" s="428"/>
      <c r="S243" s="429"/>
      <c r="T243" s="430"/>
    </row>
    <row r="244" spans="8:20">
      <c r="H244" s="62"/>
      <c r="R244" s="428"/>
      <c r="S244" s="429"/>
      <c r="T244" s="430"/>
    </row>
    <row r="245" spans="8:20">
      <c r="H245" s="62"/>
      <c r="R245" s="428"/>
      <c r="S245" s="429"/>
      <c r="T245" s="430"/>
    </row>
    <row r="246" spans="8:20">
      <c r="H246" s="62"/>
      <c r="R246" s="428"/>
      <c r="S246" s="429"/>
      <c r="T246" s="430"/>
    </row>
    <row r="247" spans="8:20">
      <c r="H247" s="62"/>
      <c r="R247" s="428"/>
      <c r="S247" s="429"/>
      <c r="T247" s="430"/>
    </row>
    <row r="248" spans="8:20">
      <c r="H248" s="62"/>
      <c r="R248" s="428"/>
      <c r="S248" s="429"/>
      <c r="T248" s="430"/>
    </row>
    <row r="249" spans="8:20">
      <c r="H249" s="62"/>
      <c r="R249" s="428"/>
      <c r="S249" s="429"/>
      <c r="T249" s="430"/>
    </row>
    <row r="250" spans="8:20">
      <c r="H250" s="62"/>
      <c r="R250" s="428"/>
      <c r="S250" s="429"/>
      <c r="T250" s="430"/>
    </row>
    <row r="251" spans="8:20">
      <c r="H251" s="62"/>
      <c r="R251" s="428"/>
      <c r="S251" s="429"/>
      <c r="T251" s="430"/>
    </row>
    <row r="252" spans="8:20">
      <c r="H252" s="62"/>
      <c r="R252" s="428"/>
      <c r="S252" s="429"/>
      <c r="T252" s="430"/>
    </row>
    <row r="253" spans="8:20">
      <c r="H253" s="62"/>
      <c r="R253" s="428"/>
      <c r="S253" s="429"/>
      <c r="T253" s="430"/>
    </row>
    <row r="254" spans="8:20">
      <c r="H254" s="62"/>
      <c r="R254" s="428"/>
      <c r="S254" s="429"/>
      <c r="T254" s="430"/>
    </row>
    <row r="255" spans="8:20">
      <c r="H255" s="62"/>
      <c r="R255" s="428"/>
      <c r="S255" s="429"/>
      <c r="T255" s="430"/>
    </row>
    <row r="256" spans="8:20">
      <c r="H256" s="62"/>
      <c r="R256" s="428"/>
      <c r="S256" s="429"/>
      <c r="T256" s="430"/>
    </row>
    <row r="257" spans="8:20">
      <c r="H257" s="62"/>
      <c r="R257" s="428"/>
      <c r="S257" s="429"/>
      <c r="T257" s="430"/>
    </row>
    <row r="258" spans="8:20">
      <c r="H258" s="62"/>
      <c r="R258" s="428"/>
      <c r="S258" s="429"/>
      <c r="T258" s="430"/>
    </row>
    <row r="259" spans="8:20">
      <c r="H259" s="62"/>
      <c r="R259" s="428"/>
      <c r="S259" s="429"/>
      <c r="T259" s="430"/>
    </row>
    <row r="260" spans="8:20">
      <c r="H260" s="62"/>
      <c r="R260" s="428"/>
      <c r="S260" s="429"/>
      <c r="T260" s="430"/>
    </row>
    <row r="261" spans="8:20">
      <c r="H261" s="62"/>
      <c r="R261" s="428"/>
      <c r="S261" s="429"/>
      <c r="T261" s="430"/>
    </row>
    <row r="262" spans="8:20">
      <c r="H262" s="62"/>
      <c r="R262" s="428"/>
      <c r="S262" s="429"/>
      <c r="T262" s="430"/>
    </row>
    <row r="263" spans="8:20">
      <c r="H263" s="62"/>
      <c r="R263" s="428"/>
      <c r="S263" s="429"/>
      <c r="T263" s="430"/>
    </row>
    <row r="264" spans="8:20">
      <c r="H264" s="62"/>
      <c r="R264" s="428"/>
      <c r="S264" s="429"/>
      <c r="T264" s="430"/>
    </row>
    <row r="265" spans="8:20">
      <c r="H265" s="62"/>
      <c r="R265" s="428"/>
      <c r="S265" s="429"/>
      <c r="T265" s="430"/>
    </row>
    <row r="266" spans="8:20">
      <c r="H266" s="62"/>
      <c r="R266" s="428"/>
      <c r="S266" s="429"/>
      <c r="T266" s="430"/>
    </row>
    <row r="267" spans="8:20">
      <c r="H267" s="62"/>
      <c r="R267" s="428"/>
      <c r="S267" s="429"/>
      <c r="T267" s="430"/>
    </row>
    <row r="268" spans="8:20">
      <c r="H268" s="62"/>
      <c r="R268" s="428"/>
      <c r="S268" s="429"/>
      <c r="T268" s="430"/>
    </row>
    <row r="269" spans="8:20">
      <c r="H269" s="62"/>
      <c r="R269" s="428"/>
      <c r="S269" s="429"/>
      <c r="T269" s="430"/>
    </row>
    <row r="270" spans="8:20">
      <c r="H270" s="62"/>
      <c r="R270" s="428"/>
      <c r="S270" s="429"/>
      <c r="T270" s="430"/>
    </row>
    <row r="271" spans="8:20">
      <c r="H271" s="62"/>
      <c r="R271" s="428"/>
      <c r="S271" s="429"/>
      <c r="T271" s="430"/>
    </row>
    <row r="272" spans="8:20">
      <c r="H272" s="62"/>
      <c r="R272" s="428"/>
      <c r="S272" s="429"/>
      <c r="T272" s="430"/>
    </row>
    <row r="273" spans="8:20">
      <c r="H273" s="62"/>
      <c r="R273" s="428"/>
      <c r="S273" s="429"/>
      <c r="T273" s="430"/>
    </row>
    <row r="274" spans="8:20">
      <c r="H274" s="62"/>
      <c r="R274" s="428"/>
      <c r="S274" s="429"/>
      <c r="T274" s="430"/>
    </row>
    <row r="275" spans="8:20">
      <c r="H275" s="62"/>
      <c r="R275" s="428"/>
      <c r="S275" s="429"/>
      <c r="T275" s="430"/>
    </row>
    <row r="276" spans="8:20">
      <c r="H276" s="62"/>
      <c r="R276" s="428"/>
      <c r="S276" s="429"/>
      <c r="T276" s="430"/>
    </row>
    <row r="277" spans="8:20">
      <c r="H277" s="62"/>
      <c r="R277" s="428"/>
      <c r="S277" s="429"/>
      <c r="T277" s="430"/>
    </row>
    <row r="278" spans="8:20">
      <c r="H278" s="62"/>
      <c r="R278" s="428"/>
      <c r="S278" s="429"/>
      <c r="T278" s="430"/>
    </row>
  </sheetData>
  <mergeCells count="5">
    <mergeCell ref="B3:S3"/>
    <mergeCell ref="C12:G12"/>
    <mergeCell ref="H12:Q12"/>
    <mergeCell ref="C13:G13"/>
    <mergeCell ref="H13:Q13"/>
  </mergeCells>
  <printOptions horizontalCentered="1"/>
  <pageMargins left="0.78740157480314965" right="0.59055118110236227" top="0.59055118110236227" bottom="0.59055118110236227" header="0.51181102362204722" footer="0.39370078740157483"/>
  <pageSetup paperSize="9" scale="61" orientation="portrait" horizontalDpi="4294967293" verticalDpi="4294967293" r:id="rId1"/>
  <headerFooter alignWithMargins="0"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24</vt:i4>
      </vt:variant>
    </vt:vector>
  </HeadingPairs>
  <TitlesOfParts>
    <vt:vector size="41" baseType="lpstr">
      <vt:lpstr>K3 (2)</vt:lpstr>
      <vt:lpstr>COVER </vt:lpstr>
      <vt:lpstr>REKAP</vt:lpstr>
      <vt:lpstr>RAB</vt:lpstr>
      <vt:lpstr>B</vt:lpstr>
      <vt:lpstr>C</vt:lpstr>
      <vt:lpstr>D</vt:lpstr>
      <vt:lpstr>E</vt:lpstr>
      <vt:lpstr>F</vt:lpstr>
      <vt:lpstr>M</vt:lpstr>
      <vt:lpstr>N</vt:lpstr>
      <vt:lpstr>RKPANL</vt:lpstr>
      <vt:lpstr>ANALISA UTAMA</vt:lpstr>
      <vt:lpstr>UPAH-BAHAN</vt:lpstr>
      <vt:lpstr>ANL HITUNG</vt:lpstr>
      <vt:lpstr>Sheet1</vt:lpstr>
      <vt:lpstr>HPS - TKDN</vt:lpstr>
      <vt:lpstr>'ANALISA UTAMA'!Print_Area</vt:lpstr>
      <vt:lpstr>'ANL HITUNG'!Print_Area</vt:lpstr>
      <vt:lpstr>B!Print_Area</vt:lpstr>
      <vt:lpstr>'C'!Print_Area</vt:lpstr>
      <vt:lpstr>'COVER '!Print_Area</vt:lpstr>
      <vt:lpstr>D!Print_Area</vt:lpstr>
      <vt:lpstr>E!Print_Area</vt:lpstr>
      <vt:lpstr>F!Print_Area</vt:lpstr>
      <vt:lpstr>'HPS - TKDN'!Print_Area</vt:lpstr>
      <vt:lpstr>'K3 (2)'!Print_Area</vt:lpstr>
      <vt:lpstr>M!Print_Area</vt:lpstr>
      <vt:lpstr>RAB!Print_Area</vt:lpstr>
      <vt:lpstr>REKAP!Print_Area</vt:lpstr>
      <vt:lpstr>RKPANL!Print_Area</vt:lpstr>
      <vt:lpstr>'UPAH-BAHAN'!Print_Area</vt:lpstr>
      <vt:lpstr>B!Print_Titles</vt:lpstr>
      <vt:lpstr>D!Print_Titles</vt:lpstr>
      <vt:lpstr>E!Print_Titles</vt:lpstr>
      <vt:lpstr>F!Print_Titles</vt:lpstr>
      <vt:lpstr>'HPS - TKDN'!Print_Titles</vt:lpstr>
      <vt:lpstr>'K3 (2)'!Print_Titles</vt:lpstr>
      <vt:lpstr>M!Print_Titles</vt:lpstr>
      <vt:lpstr>RAB!Print_Titles</vt:lpstr>
      <vt:lpstr>'UPAH-BAHAN'!Print_Titles</vt:lpstr>
    </vt:vector>
  </TitlesOfParts>
  <Company>LINK MEDIA &amp; CCA Consultant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bina mitra</dc:creator>
  <cp:lastModifiedBy>User</cp:lastModifiedBy>
  <cp:lastPrinted>2024-03-28T08:04:59Z</cp:lastPrinted>
  <dcterms:created xsi:type="dcterms:W3CDTF">2005-10-13T10:21:18Z</dcterms:created>
  <dcterms:modified xsi:type="dcterms:W3CDTF">2024-04-27T09:55:50Z</dcterms:modified>
</cp:coreProperties>
</file>